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defaultThemeVersion="124226"/>
  <xr:revisionPtr revIDLastSave="0" documentId="13_ncr:1_{9D72F90E-0507-493C-90BD-36120CC0FDD0}" xr6:coauthVersionLast="46" xr6:coauthVersionMax="46" xr10:uidLastSave="{00000000-0000-0000-0000-000000000000}"/>
  <bookViews>
    <workbookView xWindow="-120" yWindow="-120" windowWidth="29040" windowHeight="15840" tabRatio="827" activeTab="2" xr2:uid="{00000000-000D-0000-FFFF-FFFF00000000}"/>
  </bookViews>
  <sheets>
    <sheet name="Checks" sheetId="2" r:id="rId1"/>
    <sheet name="Header" sheetId="21" r:id="rId2"/>
    <sheet name="T1" sheetId="3" r:id="rId3"/>
    <sheet name="T1 ANSP" sheetId="4" r:id="rId4"/>
    <sheet name="T1 MET" sheetId="5" r:id="rId5"/>
    <sheet name="T1 NSA" sheetId="6" r:id="rId6"/>
    <sheet name="T1 ENBR" sheetId="20" r:id="rId7"/>
    <sheet name="T1 ENGM" sheetId="29" r:id="rId8"/>
    <sheet name="T1 ENZV" sheetId="30" r:id="rId9"/>
    <sheet name="T1 ENVA" sheetId="31" r:id="rId10"/>
    <sheet name="T2" sheetId="8" r:id="rId11"/>
    <sheet name="T2 ANSP" sheetId="9" r:id="rId12"/>
    <sheet name="T2 MET" sheetId="10" r:id="rId13"/>
    <sheet name="T2 NSA" sheetId="17" r:id="rId14"/>
    <sheet name="T3" sheetId="11" r:id="rId15"/>
    <sheet name="T3 ANSP" sheetId="12" r:id="rId16"/>
    <sheet name="T3 MET" sheetId="13" r:id="rId17"/>
    <sheet name="T3 NSA" sheetId="14" r:id="rId18"/>
    <sheet name="T4" sheetId="24" r:id="rId19"/>
    <sheet name="RP3 PP revised" sheetId="19" r:id="rId20"/>
  </sheets>
  <externalReferences>
    <externalReference r:id="rId21"/>
    <externalReference r:id="rId22"/>
    <externalReference r:id="rId23"/>
    <externalReference r:id="rId24"/>
    <externalReference r:id="rId25"/>
  </externalReferences>
  <definedNames>
    <definedName name="_" localSheetId="7">#REF!</definedName>
    <definedName name="_" localSheetId="9">#REF!</definedName>
    <definedName name="_" localSheetId="8">#REF!</definedName>
    <definedName name="_">#REF!</definedName>
    <definedName name="____DCn1" localSheetId="7">#REF!</definedName>
    <definedName name="____DCn1" localSheetId="9">#REF!</definedName>
    <definedName name="____DCn1" localSheetId="8">#REF!</definedName>
    <definedName name="____DCn1">#REF!</definedName>
    <definedName name="____DCn2" localSheetId="7">#REF!</definedName>
    <definedName name="____DCn2" localSheetId="9">#REF!</definedName>
    <definedName name="____DCn2" localSheetId="8">#REF!</definedName>
    <definedName name="____DCn2">#REF!</definedName>
    <definedName name="____EZ2" localSheetId="1" hidden="1">{#N/A,#N/A,TRUE,"Page de garde";#N/A,#N/A,TRUE,"Récap";#N/A,#N/A,TRUE,"2001";#N/A,#N/A,TRUE,"2002";#N/A,#N/A,TRUE,"MN";#N/A,#N/A,TRUE,"CB-CN ";#N/A,#N/A,TRUE,"Point TVA (avec ES)"}</definedName>
    <definedName name="____EZ2" localSheetId="19" hidden="1">{#N/A,#N/A,TRUE,"Page de garde";#N/A,#N/A,TRUE,"Récap";#N/A,#N/A,TRUE,"2001";#N/A,#N/A,TRUE,"2002";#N/A,#N/A,TRUE,"MN";#N/A,#N/A,TRUE,"CB-CN ";#N/A,#N/A,TRUE,"Point TVA (avec ES)"}</definedName>
    <definedName name="____EZ2" localSheetId="18" hidden="1">{#N/A,#N/A,TRUE,"Page de garde";#N/A,#N/A,TRUE,"Récap";#N/A,#N/A,TRUE,"2001";#N/A,#N/A,TRUE,"2002";#N/A,#N/A,TRUE,"MN";#N/A,#N/A,TRUE,"CB-CN ";#N/A,#N/A,TRUE,"Point TVA (avec ES)"}</definedName>
    <definedName name="____EZ2" hidden="1">{#N/A,#N/A,TRUE,"Page de garde";#N/A,#N/A,TRUE,"Récap";#N/A,#N/A,TRUE,"2001";#N/A,#N/A,TRUE,"2002";#N/A,#N/A,TRUE,"MN";#N/A,#N/A,TRUE,"CB-CN ";#N/A,#N/A,TRUE,"Point TVA (avec ES)"}</definedName>
    <definedName name="____qry2000" localSheetId="7">#REF!</definedName>
    <definedName name="____qry2000" localSheetId="9">#REF!</definedName>
    <definedName name="____qry2000" localSheetId="8">#REF!</definedName>
    <definedName name="____qry2000">#REF!</definedName>
    <definedName name="___EZ2" localSheetId="1" hidden="1">{#N/A,#N/A,TRUE,"Page de garde";#N/A,#N/A,TRUE,"Récap";#N/A,#N/A,TRUE,"2001";#N/A,#N/A,TRUE,"2002";#N/A,#N/A,TRUE,"MN";#N/A,#N/A,TRUE,"CB-CN ";#N/A,#N/A,TRUE,"Point TVA (avec ES)"}</definedName>
    <definedName name="___EZ2" localSheetId="19" hidden="1">{#N/A,#N/A,TRUE,"Page de garde";#N/A,#N/A,TRUE,"Récap";#N/A,#N/A,TRUE,"2001";#N/A,#N/A,TRUE,"2002";#N/A,#N/A,TRUE,"MN";#N/A,#N/A,TRUE,"CB-CN ";#N/A,#N/A,TRUE,"Point TVA (avec ES)"}</definedName>
    <definedName name="___EZ2" localSheetId="18" hidden="1">{#N/A,#N/A,TRUE,"Page de garde";#N/A,#N/A,TRUE,"Récap";#N/A,#N/A,TRUE,"2001";#N/A,#N/A,TRUE,"2002";#N/A,#N/A,TRUE,"MN";#N/A,#N/A,TRUE,"CB-CN ";#N/A,#N/A,TRUE,"Point TVA (avec ES)"}</definedName>
    <definedName name="___EZ2" hidden="1">{#N/A,#N/A,TRUE,"Page de garde";#N/A,#N/A,TRUE,"Récap";#N/A,#N/A,TRUE,"2001";#N/A,#N/A,TRUE,"2002";#N/A,#N/A,TRUE,"MN";#N/A,#N/A,TRUE,"CB-CN ";#N/A,#N/A,TRUE,"Point TVA (avec ES)"}</definedName>
    <definedName name="___qry2000" localSheetId="7">#REF!</definedName>
    <definedName name="___qry2000" localSheetId="9">#REF!</definedName>
    <definedName name="___qry2000" localSheetId="8">#REF!</definedName>
    <definedName name="___qry2000">#REF!</definedName>
    <definedName name="__EZ2" localSheetId="1" hidden="1">{#N/A,#N/A,TRUE,"Page de garde";#N/A,#N/A,TRUE,"Récap";#N/A,#N/A,TRUE,"2001";#N/A,#N/A,TRUE,"2002";#N/A,#N/A,TRUE,"MN";#N/A,#N/A,TRUE,"CB-CN ";#N/A,#N/A,TRUE,"Point TVA (avec ES)"}</definedName>
    <definedName name="__EZ2" localSheetId="19" hidden="1">{#N/A,#N/A,TRUE,"Page de garde";#N/A,#N/A,TRUE,"Récap";#N/A,#N/A,TRUE,"2001";#N/A,#N/A,TRUE,"2002";#N/A,#N/A,TRUE,"MN";#N/A,#N/A,TRUE,"CB-CN ";#N/A,#N/A,TRUE,"Point TVA (avec ES)"}</definedName>
    <definedName name="__EZ2" localSheetId="18" hidden="1">{#N/A,#N/A,TRUE,"Page de garde";#N/A,#N/A,TRUE,"Récap";#N/A,#N/A,TRUE,"2001";#N/A,#N/A,TRUE,"2002";#N/A,#N/A,TRUE,"MN";#N/A,#N/A,TRUE,"CB-CN ";#N/A,#N/A,TRUE,"Point TVA (avec ES)"}</definedName>
    <definedName name="__EZ2" hidden="1">{#N/A,#N/A,TRUE,"Page de garde";#N/A,#N/A,TRUE,"Récap";#N/A,#N/A,TRUE,"2001";#N/A,#N/A,TRUE,"2002";#N/A,#N/A,TRUE,"MN";#N/A,#N/A,TRUE,"CB-CN ";#N/A,#N/A,TRUE,"Point TVA (avec ES)"}</definedName>
    <definedName name="__gry2000" localSheetId="7">#REF!</definedName>
    <definedName name="__gry2000" localSheetId="9">#REF!</definedName>
    <definedName name="__gry2000" localSheetId="8">#REF!</definedName>
    <definedName name="__gry2000">#REF!</definedName>
    <definedName name="__qry2000" localSheetId="7">#REF!</definedName>
    <definedName name="__qry2000" localSheetId="9">#REF!</definedName>
    <definedName name="__qry2000" localSheetId="8">#REF!</definedName>
    <definedName name="__qry2000">#REF!</definedName>
    <definedName name="_a" localSheetId="7">#REF!</definedName>
    <definedName name="_a" localSheetId="9">#REF!</definedName>
    <definedName name="_a" localSheetId="8">#REF!</definedName>
    <definedName name="_a">#REF!</definedName>
    <definedName name="_BQ4.2" localSheetId="1" hidden="1">#REF!</definedName>
    <definedName name="_BQ4.2" localSheetId="19" hidden="1">#REF!</definedName>
    <definedName name="_BQ4.2" localSheetId="6" hidden="1">#REF!</definedName>
    <definedName name="_BQ4.2" localSheetId="7" hidden="1">#REF!</definedName>
    <definedName name="_BQ4.2" localSheetId="9" hidden="1">#REF!</definedName>
    <definedName name="_BQ4.2" localSheetId="8" hidden="1">#REF!</definedName>
    <definedName name="_BQ4.2" hidden="1">#REF!</definedName>
    <definedName name="_BQ4.3" localSheetId="19" hidden="1">#REF!</definedName>
    <definedName name="_BQ4.3" localSheetId="6" hidden="1">#REF!</definedName>
    <definedName name="_BQ4.3" localSheetId="7" hidden="1">#REF!</definedName>
    <definedName name="_BQ4.3" localSheetId="9" hidden="1">#REF!</definedName>
    <definedName name="_BQ4.3" localSheetId="8" hidden="1">#REF!</definedName>
    <definedName name="_BQ4.3" hidden="1">#REF!</definedName>
    <definedName name="_BQ4.4" localSheetId="19" hidden="1">#REF!</definedName>
    <definedName name="_BQ4.4" localSheetId="6" hidden="1">#REF!</definedName>
    <definedName name="_BQ4.4" localSheetId="7" hidden="1">#REF!</definedName>
    <definedName name="_BQ4.4" localSheetId="9" hidden="1">#REF!</definedName>
    <definedName name="_BQ4.4" localSheetId="8" hidden="1">#REF!</definedName>
    <definedName name="_BQ4.4" hidden="1">#REF!</definedName>
    <definedName name="_EZ2" localSheetId="1" hidden="1">{#N/A,#N/A,TRUE,"Page de garde";#N/A,#N/A,TRUE,"Récap";#N/A,#N/A,TRUE,"2001";#N/A,#N/A,TRUE,"2002";#N/A,#N/A,TRUE,"MN";#N/A,#N/A,TRUE,"CB-CN ";#N/A,#N/A,TRUE,"Point TVA (avec ES)"}</definedName>
    <definedName name="_EZ2" localSheetId="19" hidden="1">{#N/A,#N/A,TRUE,"Page de garde";#N/A,#N/A,TRUE,"Récap";#N/A,#N/A,TRUE,"2001";#N/A,#N/A,TRUE,"2002";#N/A,#N/A,TRUE,"MN";#N/A,#N/A,TRUE,"CB-CN ";#N/A,#N/A,TRUE,"Point TVA (avec ES)"}</definedName>
    <definedName name="_EZ2" localSheetId="18" hidden="1">{#N/A,#N/A,TRUE,"Page de garde";#N/A,#N/A,TRUE,"Récap";#N/A,#N/A,TRUE,"2001";#N/A,#N/A,TRUE,"2002";#N/A,#N/A,TRUE,"MN";#N/A,#N/A,TRUE,"CB-CN ";#N/A,#N/A,TRUE,"Point TVA (avec ES)"}</definedName>
    <definedName name="_EZ2" hidden="1">{#N/A,#N/A,TRUE,"Page de garde";#N/A,#N/A,TRUE,"Récap";#N/A,#N/A,TRUE,"2001";#N/A,#N/A,TRUE,"2002";#N/A,#N/A,TRUE,"MN";#N/A,#N/A,TRUE,"CB-CN ";#N/A,#N/A,TRUE,"Point TVA (avec ES)"}</definedName>
    <definedName name="_xlnm._FilterDatabase" localSheetId="0" hidden="1">Checks!$A$10:$Z$211</definedName>
    <definedName name="_xlnm._FilterDatabase" localSheetId="14" hidden="1">'T3'!$A$8:$J$172</definedName>
    <definedName name="_xlnm._FilterDatabase" localSheetId="15" hidden="1">'T3 ANSP'!$A$8:$J$172</definedName>
    <definedName name="_xlnm._FilterDatabase" localSheetId="16" hidden="1">'T3 MET'!$A$8:$J$172</definedName>
    <definedName name="_xlnm._FilterDatabase" localSheetId="17" hidden="1">'T3 NSA'!$A$8:$J$172</definedName>
    <definedName name="_qry1999" localSheetId="7">#REF!</definedName>
    <definedName name="_qry1999" localSheetId="9">#REF!</definedName>
    <definedName name="_qry1999" localSheetId="8">#REF!</definedName>
    <definedName name="_qry1999">#REF!</definedName>
    <definedName name="_qry2000" localSheetId="7">#REF!</definedName>
    <definedName name="_qry2000" localSheetId="9">#REF!</definedName>
    <definedName name="_qry2000" localSheetId="8">#REF!</definedName>
    <definedName name="_qry2000">#REF!</definedName>
    <definedName name="_tblType" localSheetId="7">#REF!</definedName>
    <definedName name="_tblType" localSheetId="9">#REF!</definedName>
    <definedName name="_tblType" localSheetId="8">#REF!</definedName>
    <definedName name="_tblType">#REF!</definedName>
    <definedName name="AINFn1" localSheetId="7">#REF!</definedName>
    <definedName name="AINFn1" localSheetId="9">#REF!</definedName>
    <definedName name="AINFn1" localSheetId="8">#REF!</definedName>
    <definedName name="AINFn1">#REF!</definedName>
    <definedName name="AINFn2" localSheetId="7">#REF!</definedName>
    <definedName name="AINFn2" localSheetId="9">#REF!</definedName>
    <definedName name="AINFn2" localSheetId="8">#REF!</definedName>
    <definedName name="AINFn2">#REF!</definedName>
    <definedName name="Antal">'[1]Indata Flygskolor'!$A$6:$A$25</definedName>
    <definedName name="Bel" localSheetId="7">#REF!</definedName>
    <definedName name="Bel" localSheetId="9">#REF!</definedName>
    <definedName name="Bel" localSheetId="8">#REF!</definedName>
    <definedName name="Bel">#REF!</definedName>
    <definedName name="Belux" localSheetId="7">#REF!</definedName>
    <definedName name="Belux" localSheetId="9">#REF!</definedName>
    <definedName name="Belux" localSheetId="8">#REF!</definedName>
    <definedName name="Belux">#REF!</definedName>
    <definedName name="beu" localSheetId="1" hidden="1">{#N/A,#N/A,TRUE,"Page de garde";#N/A,#N/A,TRUE,"Récap";#N/A,#N/A,TRUE,"2001";#N/A,#N/A,TRUE,"2002";#N/A,#N/A,TRUE,"MN";#N/A,#N/A,TRUE,"CB-CN ";#N/A,#N/A,TRUE,"Point TVA (avec ES)"}</definedName>
    <definedName name="beu" localSheetId="19" hidden="1">{#N/A,#N/A,TRUE,"Page de garde";#N/A,#N/A,TRUE,"Récap";#N/A,#N/A,TRUE,"2001";#N/A,#N/A,TRUE,"2002";#N/A,#N/A,TRUE,"MN";#N/A,#N/A,TRUE,"CB-CN ";#N/A,#N/A,TRUE,"Point TVA (avec ES)"}</definedName>
    <definedName name="beu" localSheetId="18" hidden="1">{#N/A,#N/A,TRUE,"Page de garde";#N/A,#N/A,TRUE,"Récap";#N/A,#N/A,TRUE,"2001";#N/A,#N/A,TRUE,"2002";#N/A,#N/A,TRUE,"MN";#N/A,#N/A,TRUE,"CB-CN ";#N/A,#N/A,TRUE,"Point TVA (avec ES)"}</definedName>
    <definedName name="beu" hidden="1">{#N/A,#N/A,TRUE,"Page de garde";#N/A,#N/A,TRUE,"Récap";#N/A,#N/A,TRUE,"2001";#N/A,#N/A,TRUE,"2002";#N/A,#N/A,TRUE,"MN";#N/A,#N/A,TRUE,"CB-CN ";#N/A,#N/A,TRUE,"Point TVA (avec ES)"}</definedName>
    <definedName name="buiohno" localSheetId="1" hidden="1">{#N/A,#N/A,FALSE,"Synthèse";#N/A,#N/A,FALSE,"Evolution de la TVA";#N/A,#N/A,FALSE,"Ventilation DGI-Douanes";#N/A,#N/A,FALSE,"prévision hors constaté ";#N/A,#N/A,FALSE,"recettes et écart à la prévisio"}</definedName>
    <definedName name="buiohno" localSheetId="19" hidden="1">{#N/A,#N/A,FALSE,"Synthèse";#N/A,#N/A,FALSE,"Evolution de la TVA";#N/A,#N/A,FALSE,"Ventilation DGI-Douanes";#N/A,#N/A,FALSE,"prévision hors constaté ";#N/A,#N/A,FALSE,"recettes et écart à la prévisio"}</definedName>
    <definedName name="buiohno" localSheetId="18" hidden="1">{#N/A,#N/A,FALSE,"Synthèse";#N/A,#N/A,FALSE,"Evolution de la TVA";#N/A,#N/A,FALSE,"Ventilation DGI-Douanes";#N/A,#N/A,FALSE,"prévision hors constaté ";#N/A,#N/A,FALSE,"recettes et écart à la prévisio"}</definedName>
    <definedName name="buiohno" hidden="1">{#N/A,#N/A,FALSE,"Synthèse";#N/A,#N/A,FALSE,"Evolution de la TVA";#N/A,#N/A,FALSE,"Ventilation DGI-Douanes";#N/A,#N/A,FALSE,"prévision hors constaté ";#N/A,#N/A,FALSE,"recettes et écart à la prévisio"}</definedName>
    <definedName name="ceats" localSheetId="7">#REF!</definedName>
    <definedName name="ceats" localSheetId="9">#REF!</definedName>
    <definedName name="ceats" localSheetId="8">#REF!</definedName>
    <definedName name="ceats">#REF!</definedName>
    <definedName name="ceats2" localSheetId="7">#REF!</definedName>
    <definedName name="ceats2" localSheetId="9">#REF!</definedName>
    <definedName name="ceats2" localSheetId="8">#REF!</definedName>
    <definedName name="ceats2">#REF!</definedName>
    <definedName name="ceats234" localSheetId="7">#REF!</definedName>
    <definedName name="ceats234" localSheetId="9">#REF!</definedName>
    <definedName name="ceats234" localSheetId="8">#REF!</definedName>
    <definedName name="ceats234">#REF!</definedName>
    <definedName name="COPIE" localSheetId="1" hidden="1">{#N/A,#N/A,TRUE,"Page de garde";#N/A,#N/A,TRUE,"Récap";#N/A,#N/A,TRUE,"2001";#N/A,#N/A,TRUE,"2002";#N/A,#N/A,TRUE,"MN";#N/A,#N/A,TRUE,"CB-CN ";#N/A,#N/A,TRUE,"Point TVA (avec ES)"}</definedName>
    <definedName name="COPIE" localSheetId="19" hidden="1">{#N/A,#N/A,TRUE,"Page de garde";#N/A,#N/A,TRUE,"Récap";#N/A,#N/A,TRUE,"2001";#N/A,#N/A,TRUE,"2002";#N/A,#N/A,TRUE,"MN";#N/A,#N/A,TRUE,"CB-CN ";#N/A,#N/A,TRUE,"Point TVA (avec ES)"}</definedName>
    <definedName name="COPIE" localSheetId="18" hidden="1">{#N/A,#N/A,TRUE,"Page de garde";#N/A,#N/A,TRUE,"Récap";#N/A,#N/A,TRUE,"2001";#N/A,#N/A,TRUE,"2002";#N/A,#N/A,TRUE,"MN";#N/A,#N/A,TRUE,"CB-CN ";#N/A,#N/A,TRUE,"Point TVA (avec ES)"}</definedName>
    <definedName name="COPIE" hidden="1">{#N/A,#N/A,TRUE,"Page de garde";#N/A,#N/A,TRUE,"Récap";#N/A,#N/A,TRUE,"2001";#N/A,#N/A,TRUE,"2002";#N/A,#N/A,TRUE,"MN";#N/A,#N/A,TRUE,"CB-CN ";#N/A,#N/A,TRUE,"Point TVA (avec ES)"}</definedName>
    <definedName name="COURANT" localSheetId="1" hidden="1">{#N/A,#N/A,FALSE,"Synthèse";#N/A,#N/A,FALSE,"Evolution de la TVA";#N/A,#N/A,FALSE,"Ventilation DGI-Douanes";#N/A,#N/A,FALSE,"prévision hors constaté ";#N/A,#N/A,FALSE,"recettes et écart à la prévisio"}</definedName>
    <definedName name="COURANT" localSheetId="19" hidden="1">{#N/A,#N/A,FALSE,"Synthèse";#N/A,#N/A,FALSE,"Evolution de la TVA";#N/A,#N/A,FALSE,"Ventilation DGI-Douanes";#N/A,#N/A,FALSE,"prévision hors constaté ";#N/A,#N/A,FALSE,"recettes et écart à la prévisio"}</definedName>
    <definedName name="COURANT" localSheetId="18" hidden="1">{#N/A,#N/A,FALSE,"Synthèse";#N/A,#N/A,FALSE,"Evolution de la TVA";#N/A,#N/A,FALSE,"Ventilation DGI-Douanes";#N/A,#N/A,FALSE,"prévision hors constaté ";#N/A,#N/A,FALSE,"recettes et écart à la prévisio"}</definedName>
    <definedName name="COURANT" hidden="1">{#N/A,#N/A,FALSE,"Synthèse";#N/A,#N/A,FALSE,"Evolution de la TVA";#N/A,#N/A,FALSE,"Ventilation DGI-Douanes";#N/A,#N/A,FALSE,"prévision hors constaté ";#N/A,#N/A,FALSE,"recettes et écart à la prévisio"}</definedName>
    <definedName name="_xlnm.Database" localSheetId="7">#REF!</definedName>
    <definedName name="_xlnm.Database" localSheetId="9">#REF!</definedName>
    <definedName name="_xlnm.Database" localSheetId="8">#REF!</definedName>
    <definedName name="_xlnm.Database">#REF!</definedName>
    <definedName name="DC" localSheetId="7">#REF!</definedName>
    <definedName name="DC" localSheetId="9">#REF!</definedName>
    <definedName name="DC" localSheetId="8">#REF!</definedName>
    <definedName name="DC">#REF!</definedName>
    <definedName name="ddb" localSheetId="7">#REF!</definedName>
    <definedName name="ddb" localSheetId="9">#REF!</definedName>
    <definedName name="ddb" localSheetId="8">#REF!</definedName>
    <definedName name="ddb">#REF!</definedName>
    <definedName name="ddc" localSheetId="7">#REF!</definedName>
    <definedName name="ddc" localSheetId="9">#REF!</definedName>
    <definedName name="ddc" localSheetId="8">#REF!</definedName>
    <definedName name="ddc">#REF!</definedName>
    <definedName name="ddd" localSheetId="7">#REF!</definedName>
    <definedName name="ddd" localSheetId="9">#REF!</definedName>
    <definedName name="ddd" localSheetId="8">#REF!</definedName>
    <definedName name="ddd">#REF!</definedName>
    <definedName name="dqfqq" localSheetId="1" hidden="1">{#N/A,#N/A,TRUE,"Page de garde";#N/A,#N/A,TRUE,"Récap";#N/A,#N/A,TRUE,"2001";#N/A,#N/A,TRUE,"2002";#N/A,#N/A,TRUE,"MN";#N/A,#N/A,TRUE,"CB-CN ";#N/A,#N/A,TRUE,"Point TVA (avec ES)"}</definedName>
    <definedName name="dqfqq" localSheetId="19" hidden="1">{#N/A,#N/A,TRUE,"Page de garde";#N/A,#N/A,TRUE,"Récap";#N/A,#N/A,TRUE,"2001";#N/A,#N/A,TRUE,"2002";#N/A,#N/A,TRUE,"MN";#N/A,#N/A,TRUE,"CB-CN ";#N/A,#N/A,TRUE,"Point TVA (avec ES)"}</definedName>
    <definedName name="dqfqq" localSheetId="18" hidden="1">{#N/A,#N/A,TRUE,"Page de garde";#N/A,#N/A,TRUE,"Récap";#N/A,#N/A,TRUE,"2001";#N/A,#N/A,TRUE,"2002";#N/A,#N/A,TRUE,"MN";#N/A,#N/A,TRUE,"CB-CN ";#N/A,#N/A,TRUE,"Point TVA (avec ES)"}</definedName>
    <definedName name="dqfqq" hidden="1">{#N/A,#N/A,TRUE,"Page de garde";#N/A,#N/A,TRUE,"Récap";#N/A,#N/A,TRUE,"2001";#N/A,#N/A,TRUE,"2002";#N/A,#N/A,TRUE,"MN";#N/A,#N/A,TRUE,"CB-CN ";#N/A,#N/A,TRUE,"Point TVA (avec ES)"}</definedName>
    <definedName name="E2FUT" localSheetId="1" hidden="1">{#N/A,#N/A,FALSE,"couv";#N/A,#N/A,FALSE,"A1";#N/A,#N/A,FALSE,"B1";#N/A,#N/A,FALSE,"B2";#N/A,#N/A,FALSE,"C1";#N/A,#N/A,FALSE,"C3";#N/A,#N/A,FALSE,"C4";#N/A,#N/A,FALSE,"D1";#N/A,#N/A,FALSE,"D2";#N/A,#N/A,FALSE,"D3";#N/A,#N/A,FALSE,"E";#N/A,#N/A,FALSE,"E1A";#N/A,#N/A,FALSE,"E1B";#N/A,#N/A,FALSE,"E2";#N/A,#N/A,FALSE,"E3A ";#N/A,#N/A,FALSE,"E3B";#N/A,#N/A,FALSE,"E4";#N/A,#N/A,FALSE,"F1"}</definedName>
    <definedName name="E2FUT" localSheetId="19" hidden="1">{#N/A,#N/A,FALSE,"couv";#N/A,#N/A,FALSE,"A1";#N/A,#N/A,FALSE,"B1";#N/A,#N/A,FALSE,"B2";#N/A,#N/A,FALSE,"C1";#N/A,#N/A,FALSE,"C3";#N/A,#N/A,FALSE,"C4";#N/A,#N/A,FALSE,"D1";#N/A,#N/A,FALSE,"D2";#N/A,#N/A,FALSE,"D3";#N/A,#N/A,FALSE,"E";#N/A,#N/A,FALSE,"E1A";#N/A,#N/A,FALSE,"E1B";#N/A,#N/A,FALSE,"E2";#N/A,#N/A,FALSE,"E3A ";#N/A,#N/A,FALSE,"E3B";#N/A,#N/A,FALSE,"E4";#N/A,#N/A,FALSE,"F1"}</definedName>
    <definedName name="E2FUT" localSheetId="18" hidden="1">{#N/A,#N/A,FALSE,"couv";#N/A,#N/A,FALSE,"A1";#N/A,#N/A,FALSE,"B1";#N/A,#N/A,FALSE,"B2";#N/A,#N/A,FALSE,"C1";#N/A,#N/A,FALSE,"C3";#N/A,#N/A,FALSE,"C4";#N/A,#N/A,FALSE,"D1";#N/A,#N/A,FALSE,"D2";#N/A,#N/A,FALSE,"D3";#N/A,#N/A,FALSE,"E";#N/A,#N/A,FALSE,"E1A";#N/A,#N/A,FALSE,"E1B";#N/A,#N/A,FALSE,"E2";#N/A,#N/A,FALSE,"E3A ";#N/A,#N/A,FALSE,"E3B";#N/A,#N/A,FALSE,"E4";#N/A,#N/A,FALSE,"F1"}</definedName>
    <definedName name="E2FUT" hidden="1">{#N/A,#N/A,FALSE,"couv";#N/A,#N/A,FALSE,"A1";#N/A,#N/A,FALSE,"B1";#N/A,#N/A,FALSE,"B2";#N/A,#N/A,FALSE,"C1";#N/A,#N/A,FALSE,"C3";#N/A,#N/A,FALSE,"C4";#N/A,#N/A,FALSE,"D1";#N/A,#N/A,FALSE,"D2";#N/A,#N/A,FALSE,"D3";#N/A,#N/A,FALSE,"E";#N/A,#N/A,FALSE,"E1A";#N/A,#N/A,FALSE,"E1B";#N/A,#N/A,FALSE,"E2";#N/A,#N/A,FALSE,"E3A ";#N/A,#N/A,FALSE,"E3B";#N/A,#N/A,FALSE,"E4";#N/A,#N/A,FALSE,"F1"}</definedName>
    <definedName name="E3FUT" localSheetId="1" hidden="1">{#N/A,#N/A,FALSE,"couv";#N/A,#N/A,FALSE,"A1";#N/A,#N/A,FALSE,"B1";#N/A,#N/A,FALSE,"B2";#N/A,#N/A,FALSE,"C1";#N/A,#N/A,FALSE,"C3";#N/A,#N/A,FALSE,"C4";#N/A,#N/A,FALSE,"D1";#N/A,#N/A,FALSE,"D2";#N/A,#N/A,FALSE,"D3";#N/A,#N/A,FALSE,"E";#N/A,#N/A,FALSE,"E1A";#N/A,#N/A,FALSE,"E1B";#N/A,#N/A,FALSE,"E2";#N/A,#N/A,FALSE,"E3A ";#N/A,#N/A,FALSE,"E3B";#N/A,#N/A,FALSE,"E4";#N/A,#N/A,FALSE,"F1"}</definedName>
    <definedName name="E3FUT" localSheetId="19" hidden="1">{#N/A,#N/A,FALSE,"couv";#N/A,#N/A,FALSE,"A1";#N/A,#N/A,FALSE,"B1";#N/A,#N/A,FALSE,"B2";#N/A,#N/A,FALSE,"C1";#N/A,#N/A,FALSE,"C3";#N/A,#N/A,FALSE,"C4";#N/A,#N/A,FALSE,"D1";#N/A,#N/A,FALSE,"D2";#N/A,#N/A,FALSE,"D3";#N/A,#N/A,FALSE,"E";#N/A,#N/A,FALSE,"E1A";#N/A,#N/A,FALSE,"E1B";#N/A,#N/A,FALSE,"E2";#N/A,#N/A,FALSE,"E3A ";#N/A,#N/A,FALSE,"E3B";#N/A,#N/A,FALSE,"E4";#N/A,#N/A,FALSE,"F1"}</definedName>
    <definedName name="E3FUT" localSheetId="18" hidden="1">{#N/A,#N/A,FALSE,"couv";#N/A,#N/A,FALSE,"A1";#N/A,#N/A,FALSE,"B1";#N/A,#N/A,FALSE,"B2";#N/A,#N/A,FALSE,"C1";#N/A,#N/A,FALSE,"C3";#N/A,#N/A,FALSE,"C4";#N/A,#N/A,FALSE,"D1";#N/A,#N/A,FALSE,"D2";#N/A,#N/A,FALSE,"D3";#N/A,#N/A,FALSE,"E";#N/A,#N/A,FALSE,"E1A";#N/A,#N/A,FALSE,"E1B";#N/A,#N/A,FALSE,"E2";#N/A,#N/A,FALSE,"E3A ";#N/A,#N/A,FALSE,"E3B";#N/A,#N/A,FALSE,"E4";#N/A,#N/A,FALSE,"F1"}</definedName>
    <definedName name="E3FUT" hidden="1">{#N/A,#N/A,FALSE,"couv";#N/A,#N/A,FALSE,"A1";#N/A,#N/A,FALSE,"B1";#N/A,#N/A,FALSE,"B2";#N/A,#N/A,FALSE,"C1";#N/A,#N/A,FALSE,"C3";#N/A,#N/A,FALSE,"C4";#N/A,#N/A,FALSE,"D1";#N/A,#N/A,FALSE,"D2";#N/A,#N/A,FALSE,"D3";#N/A,#N/A,FALSE,"E";#N/A,#N/A,FALSE,"E1A";#N/A,#N/A,FALSE,"E1B";#N/A,#N/A,FALSE,"E2";#N/A,#N/A,FALSE,"E3A ";#N/A,#N/A,FALSE,"E3B";#N/A,#N/A,FALSE,"E4";#N/A,#N/A,FALSE,"F1"}</definedName>
    <definedName name="efqsd" localSheetId="1" hidden="1">{#N/A,#N/A,TRUE,"Page de garde";#N/A,#N/A,TRUE,"Récap";#N/A,#N/A,TRUE,"2001";#N/A,#N/A,TRUE,"2002";#N/A,#N/A,TRUE,"MN";#N/A,#N/A,TRUE,"CB-CN ";#N/A,#N/A,TRUE,"Point TVA (avec ES)"}</definedName>
    <definedName name="efqsd" localSheetId="19" hidden="1">{#N/A,#N/A,TRUE,"Page de garde";#N/A,#N/A,TRUE,"Récap";#N/A,#N/A,TRUE,"2001";#N/A,#N/A,TRUE,"2002";#N/A,#N/A,TRUE,"MN";#N/A,#N/A,TRUE,"CB-CN ";#N/A,#N/A,TRUE,"Point TVA (avec ES)"}</definedName>
    <definedName name="efqsd" localSheetId="18" hidden="1">{#N/A,#N/A,TRUE,"Page de garde";#N/A,#N/A,TRUE,"Récap";#N/A,#N/A,TRUE,"2001";#N/A,#N/A,TRUE,"2002";#N/A,#N/A,TRUE,"MN";#N/A,#N/A,TRUE,"CB-CN ";#N/A,#N/A,TRUE,"Point TVA (avec ES)"}</definedName>
    <definedName name="efqsd" hidden="1">{#N/A,#N/A,TRUE,"Page de garde";#N/A,#N/A,TRUE,"Récap";#N/A,#N/A,TRUE,"2001";#N/A,#N/A,TRUE,"2002";#N/A,#N/A,TRUE,"MN";#N/A,#N/A,TRUE,"CB-CN ";#N/A,#N/A,TRUE,"Point TVA (avec ES)"}</definedName>
    <definedName name="establ_fr" localSheetId="7">#REF!</definedName>
    <definedName name="establ_fr" localSheetId="9">#REF!</definedName>
    <definedName name="establ_fr" localSheetId="8">#REF!</definedName>
    <definedName name="establ_fr">#REF!</definedName>
    <definedName name="establishment" localSheetId="7">#REF!</definedName>
    <definedName name="establishment" localSheetId="9">#REF!</definedName>
    <definedName name="establishment" localSheetId="8">#REF!</definedName>
    <definedName name="establishment">#REF!</definedName>
    <definedName name="EUR">[2]BEF!$F$8</definedName>
    <definedName name="EV__LASTREFTIME__" hidden="1">39363.6565856481</definedName>
    <definedName name="exchnp6" localSheetId="7">[3]Tables!#REF!</definedName>
    <definedName name="exchnp6" localSheetId="9">[3]Tables!#REF!</definedName>
    <definedName name="exchnp6" localSheetId="8">[3]Tables!#REF!</definedName>
    <definedName name="exchnp6">[3]Tables!#REF!</definedName>
    <definedName name="EZ" localSheetId="1" hidden="1">{#N/A,#N/A,TRUE,"Page de garde";#N/A,#N/A,TRUE,"Récap";#N/A,#N/A,TRUE,"2001";#N/A,#N/A,TRUE,"2002";#N/A,#N/A,TRUE,"MN";#N/A,#N/A,TRUE,"CB-CN ";#N/A,#N/A,TRUE,"Point TVA (avec ES)"}</definedName>
    <definedName name="EZ" localSheetId="19" hidden="1">{#N/A,#N/A,TRUE,"Page de garde";#N/A,#N/A,TRUE,"Récap";#N/A,#N/A,TRUE,"2001";#N/A,#N/A,TRUE,"2002";#N/A,#N/A,TRUE,"MN";#N/A,#N/A,TRUE,"CB-CN ";#N/A,#N/A,TRUE,"Point TVA (avec ES)"}</definedName>
    <definedName name="EZ" localSheetId="18" hidden="1">{#N/A,#N/A,TRUE,"Page de garde";#N/A,#N/A,TRUE,"Récap";#N/A,#N/A,TRUE,"2001";#N/A,#N/A,TRUE,"2002";#N/A,#N/A,TRUE,"MN";#N/A,#N/A,TRUE,"CB-CN ";#N/A,#N/A,TRUE,"Point TVA (avec ES)"}</definedName>
    <definedName name="EZ" hidden="1">{#N/A,#N/A,TRUE,"Page de garde";#N/A,#N/A,TRUE,"Récap";#N/A,#N/A,TRUE,"2001";#N/A,#N/A,TRUE,"2002";#N/A,#N/A,TRUE,"MN";#N/A,#N/A,TRUE,"CB-CN ";#N/A,#N/A,TRUE,"Point TVA (avec ES)"}</definedName>
    <definedName name="fd" localSheetId="1" hidden="1">{#N/A,#N/A,FALSE,"couv";#N/A,#N/A,FALSE,"A1";#N/A,#N/A,FALSE,"B1";#N/A,#N/A,FALSE,"B2";#N/A,#N/A,FALSE,"C1";#N/A,#N/A,FALSE,"C3";#N/A,#N/A,FALSE,"C4";#N/A,#N/A,FALSE,"D1";#N/A,#N/A,FALSE,"D2";#N/A,#N/A,FALSE,"D3";#N/A,#N/A,FALSE,"E";#N/A,#N/A,FALSE,"E1A";#N/A,#N/A,FALSE,"E1B";#N/A,#N/A,FALSE,"E2";#N/A,#N/A,FALSE,"E3A ";#N/A,#N/A,FALSE,"E3B";#N/A,#N/A,FALSE,"E4";#N/A,#N/A,FALSE,"F1"}</definedName>
    <definedName name="fd" localSheetId="19" hidden="1">{#N/A,#N/A,FALSE,"couv";#N/A,#N/A,FALSE,"A1";#N/A,#N/A,FALSE,"B1";#N/A,#N/A,FALSE,"B2";#N/A,#N/A,FALSE,"C1";#N/A,#N/A,FALSE,"C3";#N/A,#N/A,FALSE,"C4";#N/A,#N/A,FALSE,"D1";#N/A,#N/A,FALSE,"D2";#N/A,#N/A,FALSE,"D3";#N/A,#N/A,FALSE,"E";#N/A,#N/A,FALSE,"E1A";#N/A,#N/A,FALSE,"E1B";#N/A,#N/A,FALSE,"E2";#N/A,#N/A,FALSE,"E3A ";#N/A,#N/A,FALSE,"E3B";#N/A,#N/A,FALSE,"E4";#N/A,#N/A,FALSE,"F1"}</definedName>
    <definedName name="fd" localSheetId="18" hidden="1">{#N/A,#N/A,FALSE,"couv";#N/A,#N/A,FALSE,"A1";#N/A,#N/A,FALSE,"B1";#N/A,#N/A,FALSE,"B2";#N/A,#N/A,FALSE,"C1";#N/A,#N/A,FALSE,"C3";#N/A,#N/A,FALSE,"C4";#N/A,#N/A,FALSE,"D1";#N/A,#N/A,FALSE,"D2";#N/A,#N/A,FALSE,"D3";#N/A,#N/A,FALSE,"E";#N/A,#N/A,FALSE,"E1A";#N/A,#N/A,FALSE,"E1B";#N/A,#N/A,FALSE,"E2";#N/A,#N/A,FALSE,"E3A ";#N/A,#N/A,FALSE,"E3B";#N/A,#N/A,FALSE,"E4";#N/A,#N/A,FALSE,"F1"}</definedName>
    <definedName name="fd" hidden="1">{#N/A,#N/A,FALSE,"couv";#N/A,#N/A,FALSE,"A1";#N/A,#N/A,FALSE,"B1";#N/A,#N/A,FALSE,"B2";#N/A,#N/A,FALSE,"C1";#N/A,#N/A,FALSE,"C3";#N/A,#N/A,FALSE,"C4";#N/A,#N/A,FALSE,"D1";#N/A,#N/A,FALSE,"D2";#N/A,#N/A,FALSE,"D3";#N/A,#N/A,FALSE,"E";#N/A,#N/A,FALSE,"E1A";#N/A,#N/A,FALSE,"E1B";#N/A,#N/A,FALSE,"E2";#N/A,#N/A,FALSE,"E3A ";#N/A,#N/A,FALSE,"E3B";#N/A,#N/A,FALSE,"E4";#N/A,#N/A,FALSE,"F1"}</definedName>
    <definedName name="FINFn1" localSheetId="7">#REF!</definedName>
    <definedName name="FINFn1" localSheetId="9">#REF!</definedName>
    <definedName name="FINFn1" localSheetId="8">#REF!</definedName>
    <definedName name="FINFn1">#REF!</definedName>
    <definedName name="FINFn2" localSheetId="7">#REF!</definedName>
    <definedName name="FINFn2" localSheetId="9">#REF!</definedName>
    <definedName name="FINFn2" localSheetId="8">#REF!</definedName>
    <definedName name="FINFn2">#REF!</definedName>
    <definedName name="fvr" localSheetId="1" hidden="1">{#N/A,#N/A,TRUE,"Page de garde";#N/A,#N/A,TRUE,"Récap";#N/A,#N/A,TRUE,"2001";#N/A,#N/A,TRUE,"2002";#N/A,#N/A,TRUE,"MN";#N/A,#N/A,TRUE,"CB-CN ";#N/A,#N/A,TRUE,"Point TVA (avec ES)"}</definedName>
    <definedName name="fvr" localSheetId="19" hidden="1">{#N/A,#N/A,TRUE,"Page de garde";#N/A,#N/A,TRUE,"Récap";#N/A,#N/A,TRUE,"2001";#N/A,#N/A,TRUE,"2002";#N/A,#N/A,TRUE,"MN";#N/A,#N/A,TRUE,"CB-CN ";#N/A,#N/A,TRUE,"Point TVA (avec ES)"}</definedName>
    <definedName name="fvr" localSheetId="18" hidden="1">{#N/A,#N/A,TRUE,"Page de garde";#N/A,#N/A,TRUE,"Récap";#N/A,#N/A,TRUE,"2001";#N/A,#N/A,TRUE,"2002";#N/A,#N/A,TRUE,"MN";#N/A,#N/A,TRUE,"CB-CN ";#N/A,#N/A,TRUE,"Point TVA (avec ES)"}</definedName>
    <definedName name="fvr" hidden="1">{#N/A,#N/A,TRUE,"Page de garde";#N/A,#N/A,TRUE,"Récap";#N/A,#N/A,TRUE,"2001";#N/A,#N/A,TRUE,"2002";#N/A,#N/A,TRUE,"MN";#N/A,#N/A,TRUE,"CB-CN ";#N/A,#N/A,TRUE,"Point TVA (avec ES)"}</definedName>
    <definedName name="General" localSheetId="7">#REF!</definedName>
    <definedName name="General" localSheetId="9">#REF!</definedName>
    <definedName name="General" localSheetId="8">#REF!</definedName>
    <definedName name="General">#REF!</definedName>
    <definedName name="gfq" localSheetId="1" hidden="1">{#N/A,#N/A,TRUE,"Page de garde";#N/A,#N/A,TRUE,"Récap";#N/A,#N/A,TRUE,"2001";#N/A,#N/A,TRUE,"2002";#N/A,#N/A,TRUE,"MN";#N/A,#N/A,TRUE,"CB-CN ";#N/A,#N/A,TRUE,"Point TVA (avec ES)"}</definedName>
    <definedName name="gfq" localSheetId="19" hidden="1">{#N/A,#N/A,TRUE,"Page de garde";#N/A,#N/A,TRUE,"Récap";#N/A,#N/A,TRUE,"2001";#N/A,#N/A,TRUE,"2002";#N/A,#N/A,TRUE,"MN";#N/A,#N/A,TRUE,"CB-CN ";#N/A,#N/A,TRUE,"Point TVA (avec ES)"}</definedName>
    <definedName name="gfq" localSheetId="18" hidden="1">{#N/A,#N/A,TRUE,"Page de garde";#N/A,#N/A,TRUE,"Récap";#N/A,#N/A,TRUE,"2001";#N/A,#N/A,TRUE,"2002";#N/A,#N/A,TRUE,"MN";#N/A,#N/A,TRUE,"CB-CN ";#N/A,#N/A,TRUE,"Point TVA (avec ES)"}</definedName>
    <definedName name="gfq" hidden="1">{#N/A,#N/A,TRUE,"Page de garde";#N/A,#N/A,TRUE,"Récap";#N/A,#N/A,TRUE,"2001";#N/A,#N/A,TRUE,"2002";#N/A,#N/A,TRUE,"MN";#N/A,#N/A,TRUE,"CB-CN ";#N/A,#N/A,TRUE,"Point TVA (avec ES)"}</definedName>
    <definedName name="ghcfyhj" localSheetId="1" hidden="1">{#N/A,#N/A,TRUE,"Page de garde";#N/A,#N/A,TRUE,"Récap";#N/A,#N/A,TRUE,"2001";#N/A,#N/A,TRUE,"2002";#N/A,#N/A,TRUE,"MN";#N/A,#N/A,TRUE,"CB-CN ";#N/A,#N/A,TRUE,"Point TVA (avec ES)"}</definedName>
    <definedName name="ghcfyhj" localSheetId="19" hidden="1">{#N/A,#N/A,TRUE,"Page de garde";#N/A,#N/A,TRUE,"Récap";#N/A,#N/A,TRUE,"2001";#N/A,#N/A,TRUE,"2002";#N/A,#N/A,TRUE,"MN";#N/A,#N/A,TRUE,"CB-CN ";#N/A,#N/A,TRUE,"Point TVA (avec ES)"}</definedName>
    <definedName name="ghcfyhj" localSheetId="18" hidden="1">{#N/A,#N/A,TRUE,"Page de garde";#N/A,#N/A,TRUE,"Récap";#N/A,#N/A,TRUE,"2001";#N/A,#N/A,TRUE,"2002";#N/A,#N/A,TRUE,"MN";#N/A,#N/A,TRUE,"CB-CN ";#N/A,#N/A,TRUE,"Point TVA (avec ES)"}</definedName>
    <definedName name="ghcfyhj" hidden="1">{#N/A,#N/A,TRUE,"Page de garde";#N/A,#N/A,TRUE,"Récap";#N/A,#N/A,TRUE,"2001";#N/A,#N/A,TRUE,"2002";#N/A,#N/A,TRUE,"MN";#N/A,#N/A,TRUE,"CB-CN ";#N/A,#N/A,TRUE,"Point TVA (avec ES)"}</definedName>
    <definedName name="GRT" localSheetId="1" hidden="1">{#N/A,#N/A,FALSE,"Synthèse";#N/A,#N/A,FALSE,"Evolution de la TVA";#N/A,#N/A,FALSE,"Ventilation DGI-Douanes";#N/A,#N/A,FALSE,"prévision hors constaté ";#N/A,#N/A,FALSE,"recettes et écart à la prévisio"}</definedName>
    <definedName name="GRT" localSheetId="19" hidden="1">{#N/A,#N/A,FALSE,"Synthèse";#N/A,#N/A,FALSE,"Evolution de la TVA";#N/A,#N/A,FALSE,"Ventilation DGI-Douanes";#N/A,#N/A,FALSE,"prévision hors constaté ";#N/A,#N/A,FALSE,"recettes et écart à la prévisio"}</definedName>
    <definedName name="GRT" localSheetId="18" hidden="1">{#N/A,#N/A,FALSE,"Synthèse";#N/A,#N/A,FALSE,"Evolution de la TVA";#N/A,#N/A,FALSE,"Ventilation DGI-Douanes";#N/A,#N/A,FALSE,"prévision hors constaté ";#N/A,#N/A,FALSE,"recettes et écart à la prévisio"}</definedName>
    <definedName name="GRT" hidden="1">{#N/A,#N/A,FALSE,"Synthèse";#N/A,#N/A,FALSE,"Evolution de la TVA";#N/A,#N/A,FALSE,"Ventilation DGI-Douanes";#N/A,#N/A,FALSE,"prévision hors constaté ";#N/A,#N/A,FALSE,"recettes et écart à la prévisio"}</definedName>
    <definedName name="gvq" localSheetId="1" hidden="1">{#N/A,#N/A,TRUE,"Page de garde";#N/A,#N/A,TRUE,"Récap";#N/A,#N/A,TRUE,"2001";#N/A,#N/A,TRUE,"2002";#N/A,#N/A,TRUE,"MN";#N/A,#N/A,TRUE,"CB-CN ";#N/A,#N/A,TRUE,"Point TVA (avec ES)"}</definedName>
    <definedName name="gvq" localSheetId="19" hidden="1">{#N/A,#N/A,TRUE,"Page de garde";#N/A,#N/A,TRUE,"Récap";#N/A,#N/A,TRUE,"2001";#N/A,#N/A,TRUE,"2002";#N/A,#N/A,TRUE,"MN";#N/A,#N/A,TRUE,"CB-CN ";#N/A,#N/A,TRUE,"Point TVA (avec ES)"}</definedName>
    <definedName name="gvq" localSheetId="18" hidden="1">{#N/A,#N/A,TRUE,"Page de garde";#N/A,#N/A,TRUE,"Récap";#N/A,#N/A,TRUE,"2001";#N/A,#N/A,TRUE,"2002";#N/A,#N/A,TRUE,"MN";#N/A,#N/A,TRUE,"CB-CN ";#N/A,#N/A,TRUE,"Point TVA (avec ES)"}</definedName>
    <definedName name="gvq" hidden="1">{#N/A,#N/A,TRUE,"Page de garde";#N/A,#N/A,TRUE,"Récap";#N/A,#N/A,TRUE,"2001";#N/A,#N/A,TRUE,"2002";#N/A,#N/A,TRUE,"MN";#N/A,#N/A,TRUE,"CB-CN ";#N/A,#N/A,TRUE,"Point TVA (avec ES)"}</definedName>
    <definedName name="hjdf" localSheetId="1" hidden="1">{#N/A,#N/A,FALSE,"couv";#N/A,#N/A,FALSE,"A1";#N/A,#N/A,FALSE,"B1";#N/A,#N/A,FALSE,"B2";#N/A,#N/A,FALSE,"C1";#N/A,#N/A,FALSE,"C3";#N/A,#N/A,FALSE,"C4";#N/A,#N/A,FALSE,"D1";#N/A,#N/A,FALSE,"D2";#N/A,#N/A,FALSE,"D3";#N/A,#N/A,FALSE,"E";#N/A,#N/A,FALSE,"E1A";#N/A,#N/A,FALSE,"E1B";#N/A,#N/A,FALSE,"E2";#N/A,#N/A,FALSE,"E3A ";#N/A,#N/A,FALSE,"E3B";#N/A,#N/A,FALSE,"E4";#N/A,#N/A,FALSE,"F1"}</definedName>
    <definedName name="hjdf" localSheetId="19" hidden="1">{#N/A,#N/A,FALSE,"couv";#N/A,#N/A,FALSE,"A1";#N/A,#N/A,FALSE,"B1";#N/A,#N/A,FALSE,"B2";#N/A,#N/A,FALSE,"C1";#N/A,#N/A,FALSE,"C3";#N/A,#N/A,FALSE,"C4";#N/A,#N/A,FALSE,"D1";#N/A,#N/A,FALSE,"D2";#N/A,#N/A,FALSE,"D3";#N/A,#N/A,FALSE,"E";#N/A,#N/A,FALSE,"E1A";#N/A,#N/A,FALSE,"E1B";#N/A,#N/A,FALSE,"E2";#N/A,#N/A,FALSE,"E3A ";#N/A,#N/A,FALSE,"E3B";#N/A,#N/A,FALSE,"E4";#N/A,#N/A,FALSE,"F1"}</definedName>
    <definedName name="hjdf" localSheetId="18" hidden="1">{#N/A,#N/A,FALSE,"couv";#N/A,#N/A,FALSE,"A1";#N/A,#N/A,FALSE,"B1";#N/A,#N/A,FALSE,"B2";#N/A,#N/A,FALSE,"C1";#N/A,#N/A,FALSE,"C3";#N/A,#N/A,FALSE,"C4";#N/A,#N/A,FALSE,"D1";#N/A,#N/A,FALSE,"D2";#N/A,#N/A,FALSE,"D3";#N/A,#N/A,FALSE,"E";#N/A,#N/A,FALSE,"E1A";#N/A,#N/A,FALSE,"E1B";#N/A,#N/A,FALSE,"E2";#N/A,#N/A,FALSE,"E3A ";#N/A,#N/A,FALSE,"E3B";#N/A,#N/A,FALSE,"E4";#N/A,#N/A,FALSE,"F1"}</definedName>
    <definedName name="hjdf" hidden="1">{#N/A,#N/A,FALSE,"couv";#N/A,#N/A,FALSE,"A1";#N/A,#N/A,FALSE,"B1";#N/A,#N/A,FALSE,"B2";#N/A,#N/A,FALSE,"C1";#N/A,#N/A,FALSE,"C3";#N/A,#N/A,FALSE,"C4";#N/A,#N/A,FALSE,"D1";#N/A,#N/A,FALSE,"D2";#N/A,#N/A,FALSE,"D3";#N/A,#N/A,FALSE,"E";#N/A,#N/A,FALSE,"E1A";#N/A,#N/A,FALSE,"E1B";#N/A,#N/A,FALSE,"E2";#N/A,#N/A,FALSE,"E3A ";#N/A,#N/A,FALSE,"E3B";#N/A,#N/A,FALSE,"E4";#N/A,#N/A,FALSE,"F1"}</definedName>
    <definedName name="HTML_CodePage" hidden="1">1252</definedName>
    <definedName name="HTML_Control" localSheetId="1" hidden="1">{"'TBADMI (Annexe 3)'!$B$164:$G$189"}</definedName>
    <definedName name="HTML_Control" localSheetId="19" hidden="1">{"'TBADMI (Annexe 3)'!$B$164:$G$189"}</definedName>
    <definedName name="HTML_Control" localSheetId="18" hidden="1">{"'TBADMI (Annexe 3)'!$B$164:$G$189"}</definedName>
    <definedName name="HTML_Control" hidden="1">{"'TBADMI (Annexe 3)'!$B$164:$G$189"}</definedName>
    <definedName name="HTML_Description" hidden="1">""</definedName>
    <definedName name="HTML_Email" hidden="1">""</definedName>
    <definedName name="HTML_Header" hidden="1">"TBADMI (Annexe 3)"</definedName>
    <definedName name="HTML_LastUpdate" hidden="1">"22/09/2000"</definedName>
    <definedName name="HTML_LineAfter" hidden="1">FALSE</definedName>
    <definedName name="HTML_LineBefore" hidden="1">FALSE</definedName>
    <definedName name="HTML_Name" hidden="1">"Alain NICOLAS"</definedName>
    <definedName name="HTML_OBDlg2" hidden="1">TRUE</definedName>
    <definedName name="HTML_OBDlg4" hidden="1">TRUE</definedName>
    <definedName name="HTML_OS" hidden="1">0</definedName>
    <definedName name="HTML_PathFile" hidden="1">"D:\Mes documents\MonHTML.htm"</definedName>
    <definedName name="HTML_Title" hidden="1">"DSG - TBADMI_V2"</definedName>
    <definedName name="ib" localSheetId="1" hidden="1">{#N/A,#N/A,TRUE,"Page de garde";#N/A,#N/A,TRUE,"Récap";#N/A,#N/A,TRUE,"2001";#N/A,#N/A,TRUE,"2002";#N/A,#N/A,TRUE,"MN";#N/A,#N/A,TRUE,"CB-CN ";#N/A,#N/A,TRUE,"Point TVA (avec ES)"}</definedName>
    <definedName name="ib" localSheetId="19" hidden="1">{#N/A,#N/A,TRUE,"Page de garde";#N/A,#N/A,TRUE,"Récap";#N/A,#N/A,TRUE,"2001";#N/A,#N/A,TRUE,"2002";#N/A,#N/A,TRUE,"MN";#N/A,#N/A,TRUE,"CB-CN ";#N/A,#N/A,TRUE,"Point TVA (avec ES)"}</definedName>
    <definedName name="ib" localSheetId="18" hidden="1">{#N/A,#N/A,TRUE,"Page de garde";#N/A,#N/A,TRUE,"Récap";#N/A,#N/A,TRUE,"2001";#N/A,#N/A,TRUE,"2002";#N/A,#N/A,TRUE,"MN";#N/A,#N/A,TRUE,"CB-CN ";#N/A,#N/A,TRUE,"Point TVA (avec ES)"}</definedName>
    <definedName name="ib" hidden="1">{#N/A,#N/A,TRUE,"Page de garde";#N/A,#N/A,TRUE,"Récap";#N/A,#N/A,TRUE,"2001";#N/A,#N/A,TRUE,"2002";#N/A,#N/A,TRUE,"MN";#N/A,#N/A,TRUE,"CB-CN ";#N/A,#N/A,TRUE,"Point TVA (avec ES)"}</definedName>
    <definedName name="jdgj" localSheetId="1" hidden="1">{#N/A,#N/A,FALSE,"A2C";#N/A,#N/A,FALSE,"A3C";#N/A,#N/A,FALSE,"A4C";#N/A,#N/A,FALSE,"A5C";#N/A,#N/A,FALSE,"A3PRIVAT";#N/A,#N/A,FALSE,"A4LFI";#N/A,#N/A,FALSE,"A5LFI";#N/A,#N/A,FALSE,"C2C"}</definedName>
    <definedName name="jdgj" localSheetId="19" hidden="1">{#N/A,#N/A,FALSE,"A2C";#N/A,#N/A,FALSE,"A3C";#N/A,#N/A,FALSE,"A4C";#N/A,#N/A,FALSE,"A5C";#N/A,#N/A,FALSE,"A3PRIVAT";#N/A,#N/A,FALSE,"A4LFI";#N/A,#N/A,FALSE,"A5LFI";#N/A,#N/A,FALSE,"C2C"}</definedName>
    <definedName name="jdgj" localSheetId="18" hidden="1">{#N/A,#N/A,FALSE,"A2C";#N/A,#N/A,FALSE,"A3C";#N/A,#N/A,FALSE,"A4C";#N/A,#N/A,FALSE,"A5C";#N/A,#N/A,FALSE,"A3PRIVAT";#N/A,#N/A,FALSE,"A4LFI";#N/A,#N/A,FALSE,"A5LFI";#N/A,#N/A,FALSE,"C2C"}</definedName>
    <definedName name="jdgj" hidden="1">{#N/A,#N/A,FALSE,"A2C";#N/A,#N/A,FALSE,"A3C";#N/A,#N/A,FALSE,"A4C";#N/A,#N/A,FALSE,"A5C";#N/A,#N/A,FALSE,"A3PRIVAT";#N/A,#N/A,FALSE,"A4LFI";#N/A,#N/A,FALSE,"A5LFI";#N/A,#N/A,FALSE,"C2C"}</definedName>
    <definedName name="mapperDesc" localSheetId="7">#REF!</definedName>
    <definedName name="mapperDesc" localSheetId="9">#REF!</definedName>
    <definedName name="mapperDesc" localSheetId="8">#REF!</definedName>
    <definedName name="mapperDesc">#REF!</definedName>
    <definedName name="mm" localSheetId="1" hidden="1">{#N/A,#N/A,TRUE,"Page de garde";#N/A,#N/A,TRUE,"Récap";#N/A,#N/A,TRUE,"2001";#N/A,#N/A,TRUE,"2002";#N/A,#N/A,TRUE,"MN";#N/A,#N/A,TRUE,"CB-CN ";#N/A,#N/A,TRUE,"Point TVA (avec ES)"}</definedName>
    <definedName name="mm" localSheetId="19" hidden="1">{#N/A,#N/A,TRUE,"Page de garde";#N/A,#N/A,TRUE,"Récap";#N/A,#N/A,TRUE,"2001";#N/A,#N/A,TRUE,"2002";#N/A,#N/A,TRUE,"MN";#N/A,#N/A,TRUE,"CB-CN ";#N/A,#N/A,TRUE,"Point TVA (avec ES)"}</definedName>
    <definedName name="mm" localSheetId="18" hidden="1">{#N/A,#N/A,TRUE,"Page de garde";#N/A,#N/A,TRUE,"Récap";#N/A,#N/A,TRUE,"2001";#N/A,#N/A,TRUE,"2002";#N/A,#N/A,TRUE,"MN";#N/A,#N/A,TRUE,"CB-CN ";#N/A,#N/A,TRUE,"Point TVA (avec ES)"}</definedName>
    <definedName name="mm" hidden="1">{#N/A,#N/A,TRUE,"Page de garde";#N/A,#N/A,TRUE,"Récap";#N/A,#N/A,TRUE,"2001";#N/A,#N/A,TRUE,"2002";#N/A,#N/A,TRUE,"MN";#N/A,#N/A,TRUE,"CB-CN ";#N/A,#N/A,TRUE,"Point TVA (avec ES)"}</definedName>
    <definedName name="mmmmm" localSheetId="1" hidden="1">{#N/A,#N/A,FALSE,"Synthèse";#N/A,#N/A,FALSE,"Evolution de la TVA";#N/A,#N/A,FALSE,"Ventilation DGI-Douanes";#N/A,#N/A,FALSE,"prévision hors constaté ";#N/A,#N/A,FALSE,"recettes et écart à la prévisio"}</definedName>
    <definedName name="mmmmm" localSheetId="19" hidden="1">{#N/A,#N/A,FALSE,"Synthèse";#N/A,#N/A,FALSE,"Evolution de la TVA";#N/A,#N/A,FALSE,"Ventilation DGI-Douanes";#N/A,#N/A,FALSE,"prévision hors constaté ";#N/A,#N/A,FALSE,"recettes et écart à la prévisio"}</definedName>
    <definedName name="mmmmm" localSheetId="18" hidden="1">{#N/A,#N/A,FALSE,"Synthèse";#N/A,#N/A,FALSE,"Evolution de la TVA";#N/A,#N/A,FALSE,"Ventilation DGI-Douanes";#N/A,#N/A,FALSE,"prévision hors constaté ";#N/A,#N/A,FALSE,"recettes et écart à la prévisio"}</definedName>
    <definedName name="mmmmm" hidden="1">{#N/A,#N/A,FALSE,"Synthèse";#N/A,#N/A,FALSE,"Evolution de la TVA";#N/A,#N/A,FALSE,"Ventilation DGI-Douanes";#N/A,#N/A,FALSE,"prévision hors constaté ";#N/A,#N/A,FALSE,"recettes et écart à la prévisio"}</definedName>
    <definedName name="outturn1999" localSheetId="7">#REF!</definedName>
    <definedName name="outturn1999" localSheetId="9">#REF!</definedName>
    <definedName name="outturn1999" localSheetId="8">#REF!</definedName>
    <definedName name="outturn1999">#REF!</definedName>
    <definedName name="Phasing1999" localSheetId="7">#REF!</definedName>
    <definedName name="Phasing1999" localSheetId="9">#REF!</definedName>
    <definedName name="Phasing1999" localSheetId="8">#REF!</definedName>
    <definedName name="Phasing1999">#REF!</definedName>
    <definedName name="qry1999Cats" localSheetId="7">#REF!</definedName>
    <definedName name="qry1999Cats" localSheetId="9">#REF!</definedName>
    <definedName name="qry1999Cats" localSheetId="8">#REF!</definedName>
    <definedName name="qry1999Cats">#REF!</definedName>
    <definedName name="qry1999Rephasing" localSheetId="7">#REF!</definedName>
    <definedName name="qry1999Rephasing" localSheetId="9">#REF!</definedName>
    <definedName name="qry1999Rephasing" localSheetId="8">#REF!</definedName>
    <definedName name="qry1999Rephasing">#REF!</definedName>
    <definedName name="qry2000Categories" localSheetId="7">#REF!</definedName>
    <definedName name="qry2000Categories" localSheetId="9">#REF!</definedName>
    <definedName name="qry2000Categories" localSheetId="8">#REF!</definedName>
    <definedName name="qry2000Categories">#REF!</definedName>
    <definedName name="qry2000Cats" localSheetId="7">#REF!</definedName>
    <definedName name="qry2000Cats" localSheetId="9">#REF!</definedName>
    <definedName name="qry2000Cats" localSheetId="8">#REF!</definedName>
    <definedName name="qry2000Cats">#REF!</definedName>
    <definedName name="qry2000type" localSheetId="7">#REF!</definedName>
    <definedName name="qry2000type" localSheetId="9">#REF!</definedName>
    <definedName name="qry2000type" localSheetId="8">#REF!</definedName>
    <definedName name="qry2000type">#REF!</definedName>
    <definedName name="qry2001Categories" localSheetId="7">#REF!</definedName>
    <definedName name="qry2001Categories" localSheetId="9">#REF!</definedName>
    <definedName name="qry2001Categories" localSheetId="8">#REF!</definedName>
    <definedName name="qry2001Categories">#REF!</definedName>
    <definedName name="qry2001type" localSheetId="7">#REF!</definedName>
    <definedName name="qry2001type" localSheetId="9">#REF!</definedName>
    <definedName name="qry2001type" localSheetId="8">#REF!</definedName>
    <definedName name="qry2001type">#REF!</definedName>
    <definedName name="qry99OutturnCategories">'[4]Eurocontrol detail'!$A$1:$B$7</definedName>
    <definedName name="qryCATtotals" localSheetId="7">#REF!</definedName>
    <definedName name="qryCATtotals" localSheetId="9">#REF!</definedName>
    <definedName name="qryCATtotals" localSheetId="8">#REF!</definedName>
    <definedName name="qryCATtotals">#REF!</definedName>
    <definedName name="qs" localSheetId="1" hidden="1">{#N/A,#N/A,TRUE,"Page de garde";#N/A,#N/A,TRUE,"Récap";#N/A,#N/A,TRUE,"2001";#N/A,#N/A,TRUE,"2002";#N/A,#N/A,TRUE,"MN";#N/A,#N/A,TRUE,"CB-CN ";#N/A,#N/A,TRUE,"Point TVA (avec ES)"}</definedName>
    <definedName name="qs" localSheetId="19" hidden="1">{#N/A,#N/A,TRUE,"Page de garde";#N/A,#N/A,TRUE,"Récap";#N/A,#N/A,TRUE,"2001";#N/A,#N/A,TRUE,"2002";#N/A,#N/A,TRUE,"MN";#N/A,#N/A,TRUE,"CB-CN ";#N/A,#N/A,TRUE,"Point TVA (avec ES)"}</definedName>
    <definedName name="qs" localSheetId="18" hidden="1">{#N/A,#N/A,TRUE,"Page de garde";#N/A,#N/A,TRUE,"Récap";#N/A,#N/A,TRUE,"2001";#N/A,#N/A,TRUE,"2002";#N/A,#N/A,TRUE,"MN";#N/A,#N/A,TRUE,"CB-CN ";#N/A,#N/A,TRUE,"Point TVA (avec ES)"}</definedName>
    <definedName name="qs" hidden="1">{#N/A,#N/A,TRUE,"Page de garde";#N/A,#N/A,TRUE,"Récap";#N/A,#N/A,TRUE,"2001";#N/A,#N/A,TRUE,"2002";#N/A,#N/A,TRUE,"MN";#N/A,#N/A,TRUE,"CB-CN ";#N/A,#N/A,TRUE,"Point TVA (avec ES)"}</definedName>
    <definedName name="_xlnm.Recorder" localSheetId="7">#REF!</definedName>
    <definedName name="_xlnm.Recorder" localSheetId="9">#REF!</definedName>
    <definedName name="_xlnm.Recorder" localSheetId="8">#REF!</definedName>
    <definedName name="_xlnm.Recorder">#REF!</definedName>
    <definedName name="SAPBEXdnldView" hidden="1">"D3P6O4JMXIHFGVEM2GX1TIU40"</definedName>
    <definedName name="SAPBEXsysID" hidden="1">"BWP"</definedName>
    <definedName name="sdqv" localSheetId="1" hidden="1">{#N/A,#N/A,TRUE,"Page de garde";#N/A,#N/A,TRUE,"Récap";#N/A,#N/A,TRUE,"2001";#N/A,#N/A,TRUE,"2002";#N/A,#N/A,TRUE,"MN";#N/A,#N/A,TRUE,"CB-CN ";#N/A,#N/A,TRUE,"Point TVA (avec ES)"}</definedName>
    <definedName name="sdqv" localSheetId="19" hidden="1">{#N/A,#N/A,TRUE,"Page de garde";#N/A,#N/A,TRUE,"Récap";#N/A,#N/A,TRUE,"2001";#N/A,#N/A,TRUE,"2002";#N/A,#N/A,TRUE,"MN";#N/A,#N/A,TRUE,"CB-CN ";#N/A,#N/A,TRUE,"Point TVA (avec ES)"}</definedName>
    <definedName name="sdqv" localSheetId="18" hidden="1">{#N/A,#N/A,TRUE,"Page de garde";#N/A,#N/A,TRUE,"Récap";#N/A,#N/A,TRUE,"2001";#N/A,#N/A,TRUE,"2002";#N/A,#N/A,TRUE,"MN";#N/A,#N/A,TRUE,"CB-CN ";#N/A,#N/A,TRUE,"Point TVA (avec ES)"}</definedName>
    <definedName name="sdqv" hidden="1">{#N/A,#N/A,TRUE,"Page de garde";#N/A,#N/A,TRUE,"Récap";#N/A,#N/A,TRUE,"2001";#N/A,#N/A,TRUE,"2002";#N/A,#N/A,TRUE,"MN";#N/A,#N/A,TRUE,"CB-CN ";#N/A,#N/A,TRUE,"Point TVA (avec ES)"}</definedName>
    <definedName name="section" localSheetId="7">#REF!</definedName>
    <definedName name="section" localSheetId="9">#REF!</definedName>
    <definedName name="section" localSheetId="8">#REF!</definedName>
    <definedName name="section">#REF!</definedName>
    <definedName name="Solde" localSheetId="1" hidden="1">{#N/A,#N/A,TRUE,"Page de garde";#N/A,#N/A,TRUE,"Récap";#N/A,#N/A,TRUE,"2001";#N/A,#N/A,TRUE,"2002";#N/A,#N/A,TRUE,"MN";#N/A,#N/A,TRUE,"CB-CN ";#N/A,#N/A,TRUE,"Point TVA (avec ES)"}</definedName>
    <definedName name="Solde" localSheetId="19" hidden="1">{#N/A,#N/A,TRUE,"Page de garde";#N/A,#N/A,TRUE,"Récap";#N/A,#N/A,TRUE,"2001";#N/A,#N/A,TRUE,"2002";#N/A,#N/A,TRUE,"MN";#N/A,#N/A,TRUE,"CB-CN ";#N/A,#N/A,TRUE,"Point TVA (avec ES)"}</definedName>
    <definedName name="Solde" localSheetId="18" hidden="1">{#N/A,#N/A,TRUE,"Page de garde";#N/A,#N/A,TRUE,"Récap";#N/A,#N/A,TRUE,"2001";#N/A,#N/A,TRUE,"2002";#N/A,#N/A,TRUE,"MN";#N/A,#N/A,TRUE,"CB-CN ";#N/A,#N/A,TRUE,"Point TVA (avec ES)"}</definedName>
    <definedName name="Solde" hidden="1">{#N/A,#N/A,TRUE,"Page de garde";#N/A,#N/A,TRUE,"Récap";#N/A,#N/A,TRUE,"2001";#N/A,#N/A,TRUE,"2002";#N/A,#N/A,TRUE,"MN";#N/A,#N/A,TRUE,"CB-CN ";#N/A,#N/A,TRUE,"Point TVA (avec ES)"}</definedName>
    <definedName name="sqdf" localSheetId="1" hidden="1">{#N/A,#N/A,FALSE,"couv";#N/A,#N/A,FALSE,"A1";#N/A,#N/A,FALSE,"B1";#N/A,#N/A,FALSE,"B2";#N/A,#N/A,FALSE,"C1";#N/A,#N/A,FALSE,"C3";#N/A,#N/A,FALSE,"C4";#N/A,#N/A,FALSE,"D1";#N/A,#N/A,FALSE,"D2";#N/A,#N/A,FALSE,"D3";#N/A,#N/A,FALSE,"E";#N/A,#N/A,FALSE,"E1A";#N/A,#N/A,FALSE,"E1B";#N/A,#N/A,FALSE,"E2";#N/A,#N/A,FALSE,"E3A ";#N/A,#N/A,FALSE,"E3B";#N/A,#N/A,FALSE,"E4";#N/A,#N/A,FALSE,"F1"}</definedName>
    <definedName name="sqdf" localSheetId="19" hidden="1">{#N/A,#N/A,FALSE,"couv";#N/A,#N/A,FALSE,"A1";#N/A,#N/A,FALSE,"B1";#N/A,#N/A,FALSE,"B2";#N/A,#N/A,FALSE,"C1";#N/A,#N/A,FALSE,"C3";#N/A,#N/A,FALSE,"C4";#N/A,#N/A,FALSE,"D1";#N/A,#N/A,FALSE,"D2";#N/A,#N/A,FALSE,"D3";#N/A,#N/A,FALSE,"E";#N/A,#N/A,FALSE,"E1A";#N/A,#N/A,FALSE,"E1B";#N/A,#N/A,FALSE,"E2";#N/A,#N/A,FALSE,"E3A ";#N/A,#N/A,FALSE,"E3B";#N/A,#N/A,FALSE,"E4";#N/A,#N/A,FALSE,"F1"}</definedName>
    <definedName name="sqdf" localSheetId="18" hidden="1">{#N/A,#N/A,FALSE,"couv";#N/A,#N/A,FALSE,"A1";#N/A,#N/A,FALSE,"B1";#N/A,#N/A,FALSE,"B2";#N/A,#N/A,FALSE,"C1";#N/A,#N/A,FALSE,"C3";#N/A,#N/A,FALSE,"C4";#N/A,#N/A,FALSE,"D1";#N/A,#N/A,FALSE,"D2";#N/A,#N/A,FALSE,"D3";#N/A,#N/A,FALSE,"E";#N/A,#N/A,FALSE,"E1A";#N/A,#N/A,FALSE,"E1B";#N/A,#N/A,FALSE,"E2";#N/A,#N/A,FALSE,"E3A ";#N/A,#N/A,FALSE,"E3B";#N/A,#N/A,FALSE,"E4";#N/A,#N/A,FALSE,"F1"}</definedName>
    <definedName name="sqdf" hidden="1">{#N/A,#N/A,FALSE,"couv";#N/A,#N/A,FALSE,"A1";#N/A,#N/A,FALSE,"B1";#N/A,#N/A,FALSE,"B2";#N/A,#N/A,FALSE,"C1";#N/A,#N/A,FALSE,"C3";#N/A,#N/A,FALSE,"C4";#N/A,#N/A,FALSE,"D1";#N/A,#N/A,FALSE,"D2";#N/A,#N/A,FALSE,"D3";#N/A,#N/A,FALSE,"E";#N/A,#N/A,FALSE,"E1A";#N/A,#N/A,FALSE,"E1B";#N/A,#N/A,FALSE,"E2";#N/A,#N/A,FALSE,"E3A ";#N/A,#N/A,FALSE,"E3B";#N/A,#N/A,FALSE,"E4";#N/A,#N/A,FALSE,"F1"}</definedName>
    <definedName name="ss" localSheetId="7">#REF!</definedName>
    <definedName name="ss" localSheetId="9">#REF!</definedName>
    <definedName name="ss" localSheetId="8">#REF!</definedName>
    <definedName name="ss">#REF!</definedName>
    <definedName name="sss" localSheetId="1" hidden="1">{#N/A,#N/A,TRUE,"Page de garde";#N/A,#N/A,TRUE,"Récap";#N/A,#N/A,TRUE,"2001";#N/A,#N/A,TRUE,"2002";#N/A,#N/A,TRUE,"MN";#N/A,#N/A,TRUE,"CB-CN ";#N/A,#N/A,TRUE,"Point TVA (avec ES)"}</definedName>
    <definedName name="sss" localSheetId="19" hidden="1">{#N/A,#N/A,TRUE,"Page de garde";#N/A,#N/A,TRUE,"Récap";#N/A,#N/A,TRUE,"2001";#N/A,#N/A,TRUE,"2002";#N/A,#N/A,TRUE,"MN";#N/A,#N/A,TRUE,"CB-CN ";#N/A,#N/A,TRUE,"Point TVA (avec ES)"}</definedName>
    <definedName name="sss" localSheetId="18" hidden="1">{#N/A,#N/A,TRUE,"Page de garde";#N/A,#N/A,TRUE,"Récap";#N/A,#N/A,TRUE,"2001";#N/A,#N/A,TRUE,"2002";#N/A,#N/A,TRUE,"MN";#N/A,#N/A,TRUE,"CB-CN ";#N/A,#N/A,TRUE,"Point TVA (avec ES)"}</definedName>
    <definedName name="sss" hidden="1">{#N/A,#N/A,TRUE,"Page de garde";#N/A,#N/A,TRUE,"Récap";#N/A,#N/A,TRUE,"2001";#N/A,#N/A,TRUE,"2002";#N/A,#N/A,TRUE,"MN";#N/A,#N/A,TRUE,"CB-CN ";#N/A,#N/A,TRUE,"Point TVA (avec ES)"}</definedName>
    <definedName name="suivi" localSheetId="1" hidden="1">{#N/A,#N/A,FALSE,"Synthèse";#N/A,#N/A,FALSE,"Evolution de la TVA";#N/A,#N/A,FALSE,"Ventilation DGI-Douanes";#N/A,#N/A,FALSE,"prévision hors constaté ";#N/A,#N/A,FALSE,"recettes et écart à la prévisio"}</definedName>
    <definedName name="suivi" localSheetId="19" hidden="1">{#N/A,#N/A,FALSE,"Synthèse";#N/A,#N/A,FALSE,"Evolution de la TVA";#N/A,#N/A,FALSE,"Ventilation DGI-Douanes";#N/A,#N/A,FALSE,"prévision hors constaté ";#N/A,#N/A,FALSE,"recettes et écart à la prévisio"}</definedName>
    <definedName name="suivi" localSheetId="18" hidden="1">{#N/A,#N/A,FALSE,"Synthèse";#N/A,#N/A,FALSE,"Evolution de la TVA";#N/A,#N/A,FALSE,"Ventilation DGI-Douanes";#N/A,#N/A,FALSE,"prévision hors constaté ";#N/A,#N/A,FALSE,"recettes et écart à la prévisio"}</definedName>
    <definedName name="suivi" hidden="1">{#N/A,#N/A,FALSE,"Synthèse";#N/A,#N/A,FALSE,"Evolution de la TVA";#N/A,#N/A,FALSE,"Ventilation DGI-Douanes";#N/A,#N/A,FALSE,"prévision hors constaté ";#N/A,#N/A,FALSE,"recettes et écart à la prévisio"}</definedName>
    <definedName name="table" localSheetId="7">#REF!</definedName>
    <definedName name="table" localSheetId="9">#REF!</definedName>
    <definedName name="table" localSheetId="8">#REF!</definedName>
    <definedName name="table">#REF!</definedName>
    <definedName name="tblMapDescriptions" localSheetId="7">#REF!</definedName>
    <definedName name="tblMapDescriptions" localSheetId="9">#REF!</definedName>
    <definedName name="tblMapDescriptions" localSheetId="8">#REF!</definedName>
    <definedName name="tblMapDescriptions">#REF!</definedName>
    <definedName name="test" localSheetId="7">#REF!</definedName>
    <definedName name="test" localSheetId="9">#REF!</definedName>
    <definedName name="test" localSheetId="8">#REF!</definedName>
    <definedName name="test">#REF!</definedName>
    <definedName name="Teuro" localSheetId="7">#REF!</definedName>
    <definedName name="Teuro" localSheetId="9">#REF!</definedName>
    <definedName name="Teuro" localSheetId="8">#REF!</definedName>
    <definedName name="Teuro">#REF!</definedName>
    <definedName name="tghth" localSheetId="1" hidden="1">{"'TBADMI (Annexe 3)'!$B$164:$G$189"}</definedName>
    <definedName name="tghth" localSheetId="19" hidden="1">{"'TBADMI (Annexe 3)'!$B$164:$G$189"}</definedName>
    <definedName name="tghth" localSheetId="18" hidden="1">{"'TBADMI (Annexe 3)'!$B$164:$G$189"}</definedName>
    <definedName name="tghth" hidden="1">{"'TBADMI (Annexe 3)'!$B$164:$G$189"}</definedName>
    <definedName name="TITLE2" localSheetId="7">#REF!</definedName>
    <definedName name="TITLE2" localSheetId="9">#REF!</definedName>
    <definedName name="TITLE2" localSheetId="8">#REF!</definedName>
    <definedName name="TITLE2">#REF!</definedName>
    <definedName name="TITRE1" localSheetId="7">#REF!</definedName>
    <definedName name="TITRE1" localSheetId="9">#REF!</definedName>
    <definedName name="TITRE1" localSheetId="8">#REF!</definedName>
    <definedName name="TITRE1">#REF!</definedName>
    <definedName name="TITRE2" localSheetId="7">#REF!</definedName>
    <definedName name="TITRE2" localSheetId="9">#REF!</definedName>
    <definedName name="TITRE2" localSheetId="8">#REF!</definedName>
    <definedName name="TITRE2">#REF!</definedName>
    <definedName name="tot" localSheetId="7">#REF!</definedName>
    <definedName name="tot" localSheetId="9">#REF!</definedName>
    <definedName name="tot" localSheetId="8">#REF!</definedName>
    <definedName name="tot">#REF!</definedName>
    <definedName name="tota" localSheetId="7">#REF!</definedName>
    <definedName name="tota" localSheetId="9">#REF!</definedName>
    <definedName name="tota" localSheetId="8">#REF!</definedName>
    <definedName name="tota">#REF!</definedName>
    <definedName name="totb" localSheetId="7">#REF!</definedName>
    <definedName name="totb" localSheetId="9">#REF!</definedName>
    <definedName name="totb" localSheetId="8">#REF!</definedName>
    <definedName name="totb">#REF!</definedName>
    <definedName name="totc" localSheetId="7">#REF!</definedName>
    <definedName name="totc" localSheetId="9">#REF!</definedName>
    <definedName name="totc" localSheetId="8">#REF!</definedName>
    <definedName name="totc">#REF!</definedName>
    <definedName name="totd" localSheetId="7">#REF!</definedName>
    <definedName name="totd" localSheetId="9">#REF!</definedName>
    <definedName name="totd" localSheetId="8">#REF!</definedName>
    <definedName name="totd">#REF!</definedName>
    <definedName name="_xlnm.Print_Area" localSheetId="0">Checks!$A$1:$O$211</definedName>
    <definedName name="_xlnm.Print_Area" localSheetId="1">Header!$A$1:$N$29</definedName>
    <definedName name="_xlnm.Print_Area" localSheetId="19">'RP3 PP revised'!$B$1:$K$31</definedName>
    <definedName name="_xlnm.Print_Area" localSheetId="2">'T1'!$A$1:$P$76</definedName>
    <definedName name="_xlnm.Print_Area" localSheetId="3">'T1 ANSP'!$A$1:$W$77</definedName>
    <definedName name="_xlnm.Print_Area" localSheetId="6">'T1 ENBR'!$A$1:$P$76</definedName>
    <definedName name="_xlnm.Print_Area" localSheetId="7">'T1 ENGM'!$A$1:$P$76</definedName>
    <definedName name="_xlnm.Print_Area" localSheetId="9">'T1 ENVA'!$A$1:$P$76</definedName>
    <definedName name="_xlnm.Print_Area" localSheetId="8">'T1 ENZV'!$A$1:$P$76</definedName>
    <definedName name="_xlnm.Print_Area" localSheetId="4">'T1 MET'!$A$1:$W$77</definedName>
    <definedName name="_xlnm.Print_Area" localSheetId="5">'T1 NSA'!$A$1:$W$77</definedName>
    <definedName name="_xlnm.Print_Area" localSheetId="10">'T2'!$A$1:$F$106</definedName>
    <definedName name="_xlnm.Print_Area" localSheetId="11">'T2 ANSP'!$A$1:$F$104</definedName>
    <definedName name="_xlnm.Print_Area" localSheetId="12">'T2 MET'!$A$1:$F$104</definedName>
    <definedName name="_xlnm.Print_Area" localSheetId="13">'T2 NSA'!$A$1:$F$104</definedName>
    <definedName name="_xlnm.Print_Area" localSheetId="14">'T3'!$C$1:$J$179</definedName>
    <definedName name="_xlnm.Print_Area" localSheetId="15">'T3 ANSP'!$C$1:$J$179</definedName>
    <definedName name="_xlnm.Print_Area" localSheetId="16">'T3 MET'!$C$1:$J$179</definedName>
    <definedName name="_xlnm.Print_Area" localSheetId="17">'T3 NSA'!$C$1:$J$179</definedName>
    <definedName name="_xlnm.Print_Area" localSheetId="18">'T4'!$A$1:$R$86</definedName>
    <definedName name="wrn.Dossier." localSheetId="1" hidden="1">{#N/A,#N/A,FALSE,"couv";#N/A,#N/A,FALSE,"A1";#N/A,#N/A,FALSE,"B1";#N/A,#N/A,FALSE,"B2";#N/A,#N/A,FALSE,"C1";#N/A,#N/A,FALSE,"C3";#N/A,#N/A,FALSE,"C4";#N/A,#N/A,FALSE,"D1";#N/A,#N/A,FALSE,"D2";#N/A,#N/A,FALSE,"D3";#N/A,#N/A,FALSE,"E";#N/A,#N/A,FALSE,"E1A";#N/A,#N/A,FALSE,"E1B";#N/A,#N/A,FALSE,"E2";#N/A,#N/A,FALSE,"E3A ";#N/A,#N/A,FALSE,"E3B";#N/A,#N/A,FALSE,"E4";#N/A,#N/A,FALSE,"F1"}</definedName>
    <definedName name="wrn.Dossier." localSheetId="19" hidden="1">{#N/A,#N/A,FALSE,"couv";#N/A,#N/A,FALSE,"A1";#N/A,#N/A,FALSE,"B1";#N/A,#N/A,FALSE,"B2";#N/A,#N/A,FALSE,"C1";#N/A,#N/A,FALSE,"C3";#N/A,#N/A,FALSE,"C4";#N/A,#N/A,FALSE,"D1";#N/A,#N/A,FALSE,"D2";#N/A,#N/A,FALSE,"D3";#N/A,#N/A,FALSE,"E";#N/A,#N/A,FALSE,"E1A";#N/A,#N/A,FALSE,"E1B";#N/A,#N/A,FALSE,"E2";#N/A,#N/A,FALSE,"E3A ";#N/A,#N/A,FALSE,"E3B";#N/A,#N/A,FALSE,"E4";#N/A,#N/A,FALSE,"F1"}</definedName>
    <definedName name="wrn.Dossier." localSheetId="18" hidden="1">{#N/A,#N/A,FALSE,"couv";#N/A,#N/A,FALSE,"A1";#N/A,#N/A,FALSE,"B1";#N/A,#N/A,FALSE,"B2";#N/A,#N/A,FALSE,"C1";#N/A,#N/A,FALSE,"C3";#N/A,#N/A,FALSE,"C4";#N/A,#N/A,FALSE,"D1";#N/A,#N/A,FALSE,"D2";#N/A,#N/A,FALSE,"D3";#N/A,#N/A,FALSE,"E";#N/A,#N/A,FALSE,"E1A";#N/A,#N/A,FALSE,"E1B";#N/A,#N/A,FALSE,"E2";#N/A,#N/A,FALSE,"E3A ";#N/A,#N/A,FALSE,"E3B";#N/A,#N/A,FALSE,"E4";#N/A,#N/A,FALSE,"F1"}</definedName>
    <definedName name="wrn.Dossier." hidden="1">{#N/A,#N/A,FALSE,"couv";#N/A,#N/A,FALSE,"A1";#N/A,#N/A,FALSE,"B1";#N/A,#N/A,FALSE,"B2";#N/A,#N/A,FALSE,"C1";#N/A,#N/A,FALSE,"C3";#N/A,#N/A,FALSE,"C4";#N/A,#N/A,FALSE,"D1";#N/A,#N/A,FALSE,"D2";#N/A,#N/A,FALSE,"D3";#N/A,#N/A,FALSE,"E";#N/A,#N/A,FALSE,"E1A";#N/A,#N/A,FALSE,"E1B";#N/A,#N/A,FALSE,"E2";#N/A,#N/A,FALSE,"E3A ";#N/A,#N/A,FALSE,"E3B";#N/A,#N/A,FALSE,"E4";#N/A,#N/A,FALSE,"F1"}</definedName>
    <definedName name="wrn.Dossier._.BEH._.2000." localSheetId="1" hidden="1">{#N/A,#N/A,TRUE,"Page de garde";#N/A,#N/A,TRUE,"Récap";#N/A,#N/A,TRUE,"2001";#N/A,#N/A,TRUE,"2002";#N/A,#N/A,TRUE,"MN";#N/A,#N/A,TRUE,"CB-CN ";#N/A,#N/A,TRUE,"Point TVA (avec ES)"}</definedName>
    <definedName name="wrn.Dossier._.BEH._.2000." localSheetId="19" hidden="1">{#N/A,#N/A,TRUE,"Page de garde";#N/A,#N/A,TRUE,"Récap";#N/A,#N/A,TRUE,"2001";#N/A,#N/A,TRUE,"2002";#N/A,#N/A,TRUE,"MN";#N/A,#N/A,TRUE,"CB-CN ";#N/A,#N/A,TRUE,"Point TVA (avec ES)"}</definedName>
    <definedName name="wrn.Dossier._.BEH._.2000." localSheetId="18" hidden="1">{#N/A,#N/A,TRUE,"Page de garde";#N/A,#N/A,TRUE,"Récap";#N/A,#N/A,TRUE,"2001";#N/A,#N/A,TRUE,"2002";#N/A,#N/A,TRUE,"MN";#N/A,#N/A,TRUE,"CB-CN ";#N/A,#N/A,TRUE,"Point TVA (avec ES)"}</definedName>
    <definedName name="wrn.Dossier._.BEH._.2000." hidden="1">{#N/A,#N/A,TRUE,"Page de garde";#N/A,#N/A,TRUE,"Récap";#N/A,#N/A,TRUE,"2001";#N/A,#N/A,TRUE,"2002";#N/A,#N/A,TRUE,"MN";#N/A,#N/A,TRUE,"CB-CN ";#N/A,#N/A,TRUE,"Point TVA (avec ES)"}</definedName>
    <definedName name="wrn.Dossier._.janvier." localSheetId="1" hidden="1">{#N/A,#N/A,FALSE,"c_janv";#N/A,#N/A,FALSE,"A1";#N/A,#N/A,FALSE,"B1";#N/A,#N/A,FALSE,"B2";#N/A,#N/A,FALSE,"C1";#N/A,#N/A,FALSE,"C3";#N/A,#N/A,FALSE,"C4";#N/A,#N/A,FALSE,"D1";#N/A,#N/A,FALSE,"D2";#N/A,#N/A,FALSE,"D3";#N/A,#N/A,FALSE,"E1A";#N/A,#N/A,FALSE,"E1B";#N/A,#N/A,FALSE,"E2";#N/A,#N/A,FALSE,"E3A ";#N/A,#N/A,FALSE,"E3B";#N/A,#N/A,FALSE,"E4";#N/A,#N/A,FALSE,"F1"}</definedName>
    <definedName name="wrn.Dossier._.janvier." localSheetId="19" hidden="1">{#N/A,#N/A,FALSE,"c_janv";#N/A,#N/A,FALSE,"A1";#N/A,#N/A,FALSE,"B1";#N/A,#N/A,FALSE,"B2";#N/A,#N/A,FALSE,"C1";#N/A,#N/A,FALSE,"C3";#N/A,#N/A,FALSE,"C4";#N/A,#N/A,FALSE,"D1";#N/A,#N/A,FALSE,"D2";#N/A,#N/A,FALSE,"D3";#N/A,#N/A,FALSE,"E1A";#N/A,#N/A,FALSE,"E1B";#N/A,#N/A,FALSE,"E2";#N/A,#N/A,FALSE,"E3A ";#N/A,#N/A,FALSE,"E3B";#N/A,#N/A,FALSE,"E4";#N/A,#N/A,FALSE,"F1"}</definedName>
    <definedName name="wrn.Dossier._.janvier." localSheetId="18" hidden="1">{#N/A,#N/A,FALSE,"c_janv";#N/A,#N/A,FALSE,"A1";#N/A,#N/A,FALSE,"B1";#N/A,#N/A,FALSE,"B2";#N/A,#N/A,FALSE,"C1";#N/A,#N/A,FALSE,"C3";#N/A,#N/A,FALSE,"C4";#N/A,#N/A,FALSE,"D1";#N/A,#N/A,FALSE,"D2";#N/A,#N/A,FALSE,"D3";#N/A,#N/A,FALSE,"E1A";#N/A,#N/A,FALSE,"E1B";#N/A,#N/A,FALSE,"E2";#N/A,#N/A,FALSE,"E3A ";#N/A,#N/A,FALSE,"E3B";#N/A,#N/A,FALSE,"E4";#N/A,#N/A,FALSE,"F1"}</definedName>
    <definedName name="wrn.Dossier._.janvier." hidden="1">{#N/A,#N/A,FALSE,"c_janv";#N/A,#N/A,FALSE,"A1";#N/A,#N/A,FALSE,"B1";#N/A,#N/A,FALSE,"B2";#N/A,#N/A,FALSE,"C1";#N/A,#N/A,FALSE,"C3";#N/A,#N/A,FALSE,"C4";#N/A,#N/A,FALSE,"D1";#N/A,#N/A,FALSE,"D2";#N/A,#N/A,FALSE,"D3";#N/A,#N/A,FALSE,"E1A";#N/A,#N/A,FALSE,"E1B";#N/A,#N/A,FALSE,"E2";#N/A,#N/A,FALSE,"E3A ";#N/A,#N/A,FALSE,"E3B";#N/A,#N/A,FALSE,"E4";#N/A,#N/A,FALSE,"F1"}</definedName>
    <definedName name="wrn.Dossier._.Sénat." localSheetId="1" hidden="1">{#N/A,#N/A,FALSE,"c_sénat";#N/A,#N/A,FALSE,"A1";#N/A,#N/A,FALSE,"B1";#N/A,#N/A,FALSE,"B2";#N/A,#N/A,FALSE,"C1";#N/A,#N/A,FALSE,"C3";#N/A,#N/A,FALSE,"C4";#N/A,#N/A,FALSE,"D1";#N/A,#N/A,FALSE,"D2";#N/A,#N/A,FALSE,"D3";#N/A,#N/A,FALSE,"E1A";#N/A,#N/A,FALSE,"E1B";#N/A,#N/A,FALSE,"E2";#N/A,#N/A,FALSE,"E3A ";#N/A,#N/A,FALSE,"E3B";#N/A,#N/A,FALSE,"E4";#N/A,#N/A,FALSE,"F1"}</definedName>
    <definedName name="wrn.Dossier._.Sénat." localSheetId="19" hidden="1">{#N/A,#N/A,FALSE,"c_sénat";#N/A,#N/A,FALSE,"A1";#N/A,#N/A,FALSE,"B1";#N/A,#N/A,FALSE,"B2";#N/A,#N/A,FALSE,"C1";#N/A,#N/A,FALSE,"C3";#N/A,#N/A,FALSE,"C4";#N/A,#N/A,FALSE,"D1";#N/A,#N/A,FALSE,"D2";#N/A,#N/A,FALSE,"D3";#N/A,#N/A,FALSE,"E1A";#N/A,#N/A,FALSE,"E1B";#N/A,#N/A,FALSE,"E2";#N/A,#N/A,FALSE,"E3A ";#N/A,#N/A,FALSE,"E3B";#N/A,#N/A,FALSE,"E4";#N/A,#N/A,FALSE,"F1"}</definedName>
    <definedName name="wrn.Dossier._.Sénat." localSheetId="18" hidden="1">{#N/A,#N/A,FALSE,"c_sénat";#N/A,#N/A,FALSE,"A1";#N/A,#N/A,FALSE,"B1";#N/A,#N/A,FALSE,"B2";#N/A,#N/A,FALSE,"C1";#N/A,#N/A,FALSE,"C3";#N/A,#N/A,FALSE,"C4";#N/A,#N/A,FALSE,"D1";#N/A,#N/A,FALSE,"D2";#N/A,#N/A,FALSE,"D3";#N/A,#N/A,FALSE,"E1A";#N/A,#N/A,FALSE,"E1B";#N/A,#N/A,FALSE,"E2";#N/A,#N/A,FALSE,"E3A ";#N/A,#N/A,FALSE,"E3B";#N/A,#N/A,FALSE,"E4";#N/A,#N/A,FALSE,"F1"}</definedName>
    <definedName name="wrn.Dossier._.Sénat." hidden="1">{#N/A,#N/A,FALSE,"c_sénat";#N/A,#N/A,FALSE,"A1";#N/A,#N/A,FALSE,"B1";#N/A,#N/A,FALSE,"B2";#N/A,#N/A,FALSE,"C1";#N/A,#N/A,FALSE,"C3";#N/A,#N/A,FALSE,"C4";#N/A,#N/A,FALSE,"D1";#N/A,#N/A,FALSE,"D2";#N/A,#N/A,FALSE,"D3";#N/A,#N/A,FALSE,"E1A";#N/A,#N/A,FALSE,"E1B";#N/A,#N/A,FALSE,"E2";#N/A,#N/A,FALSE,"E3A ";#N/A,#N/A,FALSE,"E3B";#N/A,#N/A,FALSE,"E4";#N/A,#N/A,FALSE,"F1"}</definedName>
    <definedName name="wrn.sh_coul." localSheetId="1" hidden="1">{#N/A,#N/A,FALSE,"A2C";#N/A,#N/A,FALSE,"A3C";#N/A,#N/A,FALSE,"A4C";#N/A,#N/A,FALSE,"A5C";#N/A,#N/A,FALSE,"A3PRIVAT";#N/A,#N/A,FALSE,"A4LFI";#N/A,#N/A,FALSE,"A5LFI";#N/A,#N/A,FALSE,"C2C"}</definedName>
    <definedName name="wrn.sh_coul." localSheetId="19" hidden="1">{#N/A,#N/A,FALSE,"A2C";#N/A,#N/A,FALSE,"A3C";#N/A,#N/A,FALSE,"A4C";#N/A,#N/A,FALSE,"A5C";#N/A,#N/A,FALSE,"A3PRIVAT";#N/A,#N/A,FALSE,"A4LFI";#N/A,#N/A,FALSE,"A5LFI";#N/A,#N/A,FALSE,"C2C"}</definedName>
    <definedName name="wrn.sh_coul." localSheetId="18" hidden="1">{#N/A,#N/A,FALSE,"A2C";#N/A,#N/A,FALSE,"A3C";#N/A,#N/A,FALSE,"A4C";#N/A,#N/A,FALSE,"A5C";#N/A,#N/A,FALSE,"A3PRIVAT";#N/A,#N/A,FALSE,"A4LFI";#N/A,#N/A,FALSE,"A5LFI";#N/A,#N/A,FALSE,"C2C"}</definedName>
    <definedName name="wrn.sh_coul." hidden="1">{#N/A,#N/A,FALSE,"A2C";#N/A,#N/A,FALSE,"A3C";#N/A,#N/A,FALSE,"A4C";#N/A,#N/A,FALSE,"A5C";#N/A,#N/A,FALSE,"A3PRIVAT";#N/A,#N/A,FALSE,"A4LFI";#N/A,#N/A,FALSE,"A5LFI";#N/A,#N/A,FALSE,"C2C"}</definedName>
    <definedName name="wrn.sh_nb." localSheetId="1" hidden="1">{#N/A,#N/A,FALSE,"A2";#N/A,#N/A,FALSE,"A3";#N/A,#N/A,FALSE,"A4";#N/A,#N/A,FALSE,"A5";#N/A,#N/A,FALSE,"C2"}</definedName>
    <definedName name="wrn.sh_nb." localSheetId="19" hidden="1">{#N/A,#N/A,FALSE,"A2";#N/A,#N/A,FALSE,"A3";#N/A,#N/A,FALSE,"A4";#N/A,#N/A,FALSE,"A5";#N/A,#N/A,FALSE,"C2"}</definedName>
    <definedName name="wrn.sh_nb." localSheetId="18" hidden="1">{#N/A,#N/A,FALSE,"A2";#N/A,#N/A,FALSE,"A3";#N/A,#N/A,FALSE,"A4";#N/A,#N/A,FALSE,"A5";#N/A,#N/A,FALSE,"C2"}</definedName>
    <definedName name="wrn.sh_nb." hidden="1">{#N/A,#N/A,FALSE,"A2";#N/A,#N/A,FALSE,"A3";#N/A,#N/A,FALSE,"A4";#N/A,#N/A,FALSE,"A5";#N/A,#N/A,FALSE,"C2"}</definedName>
    <definedName name="wrn.Suivi._.mensuel." localSheetId="1" hidden="1">{#N/A,#N/A,FALSE,"Synthèse";#N/A,#N/A,FALSE,"Evolution de la TVA";#N/A,#N/A,FALSE,"Ventilation DGI-Douanes";#N/A,#N/A,FALSE,"prévision hors constaté ";#N/A,#N/A,FALSE,"recettes et écart à la prévisio"}</definedName>
    <definedName name="wrn.Suivi._.mensuel." localSheetId="19" hidden="1">{#N/A,#N/A,FALSE,"Synthèse";#N/A,#N/A,FALSE,"Evolution de la TVA";#N/A,#N/A,FALSE,"Ventilation DGI-Douanes";#N/A,#N/A,FALSE,"prévision hors constaté ";#N/A,#N/A,FALSE,"recettes et écart à la prévisio"}</definedName>
    <definedName name="wrn.Suivi._.mensuel." localSheetId="18" hidden="1">{#N/A,#N/A,FALSE,"Synthèse";#N/A,#N/A,FALSE,"Evolution de la TVA";#N/A,#N/A,FALSE,"Ventilation DGI-Douanes";#N/A,#N/A,FALSE,"prévision hors constaté ";#N/A,#N/A,FALSE,"recettes et écart à la prévisio"}</definedName>
    <definedName name="wrn.Suivi._.mensuel." hidden="1">{#N/A,#N/A,FALSE,"Synthèse";#N/A,#N/A,FALSE,"Evolution de la TVA";#N/A,#N/A,FALSE,"Ventilation DGI-Douanes";#N/A,#N/A,FALSE,"prévision hors constaté ";#N/A,#N/A,FALSE,"recettes et écart à la prévisio"}</definedName>
    <definedName name="x">"Chart 4"</definedName>
    <definedName name="aa" localSheetId="7">#REF!</definedName>
    <definedName name="aa" localSheetId="9">#REF!</definedName>
    <definedName name="aa" localSheetId="8">#REF!</definedName>
    <definedName name="aa">#REF!</definedName>
    <definedName name="aaa">[5]BEF!$F$8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20" l="1"/>
  <c r="M13" i="20"/>
  <c r="M14" i="20"/>
  <c r="M15" i="20"/>
  <c r="M16" i="20"/>
  <c r="M17" i="20"/>
  <c r="D100" i="17"/>
  <c r="C114" i="8" l="1"/>
  <c r="C94" i="17"/>
  <c r="D97" i="8" l="1"/>
  <c r="D133" i="12"/>
  <c r="D97" i="17"/>
  <c r="D97" i="10"/>
  <c r="D97" i="9"/>
  <c r="G133" i="12"/>
  <c r="G133" i="11" s="1"/>
  <c r="G143" i="12"/>
  <c r="G143" i="11" s="1"/>
  <c r="D10" i="19" l="1"/>
  <c r="D9" i="19"/>
  <c r="D13" i="19" l="1"/>
  <c r="E13" i="19"/>
  <c r="E14" i="19" s="1"/>
  <c r="F13" i="19"/>
  <c r="F14" i="19" s="1"/>
  <c r="G13" i="19"/>
  <c r="H13" i="19"/>
  <c r="J13" i="19"/>
  <c r="G14" i="19"/>
  <c r="H14" i="19"/>
  <c r="D11" i="19" l="1"/>
  <c r="D15" i="19"/>
  <c r="D16" i="19" s="1"/>
  <c r="L68" i="4" l="1"/>
  <c r="N68" i="4"/>
  <c r="O68" i="4"/>
  <c r="P68" i="4"/>
  <c r="N16" i="4" l="1"/>
  <c r="N16" i="3" s="1"/>
  <c r="N11" i="29"/>
  <c r="L11" i="29"/>
  <c r="R13" i="4" l="1"/>
  <c r="P13" i="4"/>
  <c r="O13" i="4"/>
  <c r="N13" i="4"/>
  <c r="L13" i="4"/>
  <c r="K13" i="4"/>
  <c r="M13" i="4" l="1"/>
  <c r="K69" i="3"/>
  <c r="L51" i="4" l="1"/>
  <c r="K51" i="4"/>
  <c r="R50" i="31"/>
  <c r="O50" i="31"/>
  <c r="P50" i="31"/>
  <c r="N50" i="31"/>
  <c r="L50" i="31"/>
  <c r="K50" i="31"/>
  <c r="R50" i="30"/>
  <c r="O50" i="30"/>
  <c r="P50" i="30"/>
  <c r="N50" i="30"/>
  <c r="L50" i="30"/>
  <c r="K50" i="30"/>
  <c r="O51" i="29"/>
  <c r="P51" i="29"/>
  <c r="N51" i="29"/>
  <c r="L51" i="29"/>
  <c r="K51" i="29"/>
  <c r="R50" i="29"/>
  <c r="O50" i="29"/>
  <c r="P50" i="29"/>
  <c r="N50" i="29"/>
  <c r="L50" i="29"/>
  <c r="K50" i="29"/>
  <c r="R50" i="20"/>
  <c r="O50" i="20"/>
  <c r="P50" i="20"/>
  <c r="N50" i="20"/>
  <c r="L50" i="20"/>
  <c r="K50" i="20"/>
  <c r="R36" i="31" l="1"/>
  <c r="P36" i="31"/>
  <c r="O36" i="31"/>
  <c r="N36" i="31"/>
  <c r="L36" i="31"/>
  <c r="K36" i="31"/>
  <c r="P16" i="4"/>
  <c r="O16" i="4"/>
  <c r="L16" i="4"/>
  <c r="K16" i="4"/>
  <c r="K18" i="4" s="1"/>
  <c r="R36" i="20" l="1"/>
  <c r="R51" i="20" s="1"/>
  <c r="P36" i="20"/>
  <c r="P51" i="20" s="1"/>
  <c r="O36" i="20"/>
  <c r="O51" i="20" s="1"/>
  <c r="N36" i="20"/>
  <c r="N51" i="20" s="1"/>
  <c r="L36" i="20"/>
  <c r="L51" i="20" s="1"/>
  <c r="K36" i="20"/>
  <c r="K51" i="20" s="1"/>
  <c r="R36" i="30"/>
  <c r="R51" i="30" s="1"/>
  <c r="P36" i="30"/>
  <c r="P51" i="30" s="1"/>
  <c r="O36" i="30"/>
  <c r="O51" i="30" s="1"/>
  <c r="N36" i="30"/>
  <c r="N51" i="30" s="1"/>
  <c r="L36" i="30"/>
  <c r="L51" i="30" s="1"/>
  <c r="K36" i="30"/>
  <c r="K51" i="30" s="1"/>
  <c r="D102" i="12" l="1"/>
  <c r="R50" i="4" l="1"/>
  <c r="O50" i="4"/>
  <c r="P50" i="4"/>
  <c r="N50" i="4"/>
  <c r="L50" i="4"/>
  <c r="K50" i="4"/>
  <c r="N31" i="4" l="1"/>
  <c r="N60" i="4" s="1"/>
  <c r="K31" i="4" l="1"/>
  <c r="K60" i="4" s="1"/>
  <c r="J18" i="4"/>
  <c r="T713" i="2" l="1"/>
  <c r="S713" i="2"/>
  <c r="R713" i="2"/>
  <c r="Q713" i="2"/>
  <c r="T682" i="2"/>
  <c r="S682" i="2"/>
  <c r="R682" i="2"/>
  <c r="Q682" i="2"/>
  <c r="T651" i="2"/>
  <c r="S651" i="2"/>
  <c r="R651" i="2"/>
  <c r="Q651" i="2"/>
  <c r="T616" i="2"/>
  <c r="S616" i="2"/>
  <c r="R616" i="2"/>
  <c r="Q616" i="2"/>
  <c r="F108" i="14" l="1"/>
  <c r="E108" i="14"/>
  <c r="F108" i="13"/>
  <c r="E108" i="13"/>
  <c r="F108" i="12"/>
  <c r="E108" i="12"/>
  <c r="I107" i="11"/>
  <c r="H107" i="11"/>
  <c r="G107" i="11"/>
  <c r="F107" i="11"/>
  <c r="E107" i="11"/>
  <c r="I106" i="11"/>
  <c r="H106" i="11"/>
  <c r="G106" i="11"/>
  <c r="F106" i="11"/>
  <c r="E106" i="11"/>
  <c r="H105" i="11"/>
  <c r="G105" i="11"/>
  <c r="F105" i="11"/>
  <c r="E105" i="11"/>
  <c r="I104" i="11"/>
  <c r="G104" i="11"/>
  <c r="F104" i="11"/>
  <c r="E104" i="11"/>
  <c r="I103" i="11"/>
  <c r="H103" i="11"/>
  <c r="F103" i="11"/>
  <c r="E103" i="11"/>
  <c r="F108" i="11" l="1"/>
  <c r="E108" i="11"/>
  <c r="F84" i="2" l="1"/>
  <c r="G84" i="2"/>
  <c r="H84" i="2"/>
  <c r="I84" i="2"/>
  <c r="E84" i="2"/>
  <c r="Q81" i="2"/>
  <c r="O81" i="2"/>
  <c r="N81" i="2"/>
  <c r="M81" i="2"/>
  <c r="L81" i="2"/>
  <c r="K81" i="2"/>
  <c r="J81" i="2"/>
  <c r="I81" i="2"/>
  <c r="H81" i="2"/>
  <c r="G81" i="2"/>
  <c r="F81" i="2"/>
  <c r="E81" i="2"/>
  <c r="Q80" i="2"/>
  <c r="O80" i="2"/>
  <c r="N80" i="2"/>
  <c r="M80" i="2"/>
  <c r="L80" i="2"/>
  <c r="K80" i="2"/>
  <c r="J80" i="2"/>
  <c r="I80" i="2"/>
  <c r="H80" i="2"/>
  <c r="G80" i="2"/>
  <c r="F80" i="2"/>
  <c r="E80" i="2"/>
  <c r="Q79" i="2"/>
  <c r="O79" i="2"/>
  <c r="N79" i="2"/>
  <c r="M79" i="2"/>
  <c r="L79" i="2"/>
  <c r="K79" i="2"/>
  <c r="J79" i="2"/>
  <c r="I79" i="2"/>
  <c r="H79" i="2"/>
  <c r="G79" i="2"/>
  <c r="F79" i="2"/>
  <c r="E79" i="2"/>
  <c r="F39" i="2"/>
  <c r="G39" i="2"/>
  <c r="H39" i="2"/>
  <c r="I39" i="2"/>
  <c r="J39" i="2"/>
  <c r="K39" i="2"/>
  <c r="M39" i="2"/>
  <c r="N39" i="2"/>
  <c r="O39" i="2"/>
  <c r="Q39" i="2"/>
  <c r="F42" i="2"/>
  <c r="G42" i="2"/>
  <c r="H42" i="2"/>
  <c r="I42" i="2"/>
  <c r="J42" i="2"/>
  <c r="K42" i="2"/>
  <c r="M42" i="2"/>
  <c r="N42" i="2"/>
  <c r="O42" i="2"/>
  <c r="Q42" i="2"/>
  <c r="F45" i="2"/>
  <c r="G45" i="2"/>
  <c r="H45" i="2"/>
  <c r="I45" i="2"/>
  <c r="J45" i="2"/>
  <c r="K45" i="2"/>
  <c r="M45" i="2"/>
  <c r="N45" i="2"/>
  <c r="O45" i="2"/>
  <c r="Q45" i="2"/>
  <c r="F48" i="2"/>
  <c r="G48" i="2"/>
  <c r="H48" i="2"/>
  <c r="I48" i="2"/>
  <c r="J48" i="2"/>
  <c r="K48" i="2"/>
  <c r="M48" i="2"/>
  <c r="N48" i="2"/>
  <c r="O48" i="2"/>
  <c r="Q48" i="2"/>
  <c r="F51" i="2"/>
  <c r="G51" i="2"/>
  <c r="H51" i="2"/>
  <c r="I51" i="2"/>
  <c r="J51" i="2"/>
  <c r="K51" i="2"/>
  <c r="M51" i="2"/>
  <c r="N51" i="2"/>
  <c r="O51" i="2"/>
  <c r="Q51" i="2"/>
  <c r="F54" i="2"/>
  <c r="G54" i="2"/>
  <c r="H54" i="2"/>
  <c r="I54" i="2"/>
  <c r="J54" i="2"/>
  <c r="K54" i="2"/>
  <c r="M54" i="2"/>
  <c r="N54" i="2"/>
  <c r="O54" i="2"/>
  <c r="Q54" i="2"/>
  <c r="F57" i="2"/>
  <c r="G57" i="2"/>
  <c r="H57" i="2"/>
  <c r="I57" i="2"/>
  <c r="J57" i="2"/>
  <c r="K57" i="2"/>
  <c r="M57" i="2"/>
  <c r="N57" i="2"/>
  <c r="O57" i="2"/>
  <c r="Q57" i="2"/>
  <c r="F60" i="2"/>
  <c r="G60" i="2"/>
  <c r="H60" i="2"/>
  <c r="I60" i="2"/>
  <c r="J60" i="2"/>
  <c r="K60" i="2"/>
  <c r="M60" i="2"/>
  <c r="N60" i="2"/>
  <c r="O60" i="2"/>
  <c r="Q60" i="2"/>
  <c r="F63" i="2"/>
  <c r="G63" i="2"/>
  <c r="H63" i="2"/>
  <c r="I63" i="2"/>
  <c r="J63" i="2"/>
  <c r="K63" i="2"/>
  <c r="M63" i="2"/>
  <c r="N63" i="2"/>
  <c r="O63" i="2"/>
  <c r="Q63" i="2"/>
  <c r="F66" i="2"/>
  <c r="G66" i="2"/>
  <c r="H66" i="2"/>
  <c r="I66" i="2"/>
  <c r="J66" i="2"/>
  <c r="K66" i="2"/>
  <c r="M66" i="2"/>
  <c r="N66" i="2"/>
  <c r="O66" i="2"/>
  <c r="Q66" i="2"/>
  <c r="F69" i="2"/>
  <c r="G69" i="2"/>
  <c r="H69" i="2"/>
  <c r="I69" i="2"/>
  <c r="J69" i="2"/>
  <c r="K69" i="2"/>
  <c r="M69" i="2"/>
  <c r="N69" i="2"/>
  <c r="O69" i="2"/>
  <c r="Q69" i="2"/>
  <c r="F72" i="2"/>
  <c r="G72" i="2"/>
  <c r="H72" i="2"/>
  <c r="I72" i="2"/>
  <c r="J72" i="2"/>
  <c r="K72" i="2"/>
  <c r="M72" i="2"/>
  <c r="N72" i="2"/>
  <c r="O72" i="2"/>
  <c r="Q72" i="2"/>
  <c r="F75" i="2"/>
  <c r="G75" i="2"/>
  <c r="H75" i="2"/>
  <c r="I75" i="2"/>
  <c r="J75" i="2"/>
  <c r="K75" i="2"/>
  <c r="M75" i="2"/>
  <c r="N75" i="2"/>
  <c r="O75" i="2"/>
  <c r="Q75" i="2"/>
  <c r="F78" i="2"/>
  <c r="G78" i="2"/>
  <c r="H78" i="2"/>
  <c r="I78" i="2"/>
  <c r="J78" i="2"/>
  <c r="K78" i="2"/>
  <c r="M78" i="2"/>
  <c r="N78" i="2"/>
  <c r="O78" i="2"/>
  <c r="Q78" i="2"/>
  <c r="E78" i="2"/>
  <c r="E69" i="2"/>
  <c r="E66" i="2"/>
  <c r="E63" i="2"/>
  <c r="E60" i="2"/>
  <c r="E57" i="2"/>
  <c r="E51" i="2"/>
  <c r="E48" i="2"/>
  <c r="E45" i="2"/>
  <c r="E42" i="2"/>
  <c r="E39" i="2"/>
  <c r="H31" i="20"/>
  <c r="F29" i="20"/>
  <c r="E75" i="2" s="1"/>
  <c r="F28" i="20"/>
  <c r="E72" i="2" s="1"/>
  <c r="F22" i="20"/>
  <c r="E54" i="2" s="1"/>
  <c r="H31" i="29"/>
  <c r="J31" i="29"/>
  <c r="I31" i="29"/>
  <c r="G31" i="29"/>
  <c r="F31" i="29"/>
  <c r="J31" i="30"/>
  <c r="I31" i="30"/>
  <c r="H31" i="30"/>
  <c r="G31" i="30"/>
  <c r="F31" i="30"/>
  <c r="F31" i="31"/>
  <c r="J31" i="31"/>
  <c r="I31" i="31"/>
  <c r="H31" i="31"/>
  <c r="G31" i="31"/>
  <c r="C62" i="24" l="1"/>
  <c r="R123" i="24"/>
  <c r="Q123" i="24"/>
  <c r="P123" i="24"/>
  <c r="O123" i="24"/>
  <c r="N123" i="24"/>
  <c r="M123" i="24"/>
  <c r="L123" i="24"/>
  <c r="K123" i="24"/>
  <c r="J123" i="24"/>
  <c r="I123" i="24"/>
  <c r="H123" i="24"/>
  <c r="G123" i="24"/>
  <c r="C123" i="24"/>
  <c r="E72" i="24"/>
  <c r="E71" i="24"/>
  <c r="E70" i="24"/>
  <c r="E69" i="24"/>
  <c r="R62" i="24"/>
  <c r="Q62" i="24"/>
  <c r="P62" i="24"/>
  <c r="O62" i="24"/>
  <c r="N62" i="24"/>
  <c r="M62" i="24"/>
  <c r="L62" i="24"/>
  <c r="K62" i="24"/>
  <c r="J62" i="24"/>
  <c r="I62" i="24"/>
  <c r="H62" i="24"/>
  <c r="F62" i="24"/>
  <c r="E62" i="24"/>
  <c r="D62" i="24"/>
  <c r="E123" i="24" l="1"/>
  <c r="Q335" i="2"/>
  <c r="O335" i="2"/>
  <c r="N335" i="2"/>
  <c r="M335" i="2"/>
  <c r="K335" i="2"/>
  <c r="J335" i="2"/>
  <c r="I335" i="2"/>
  <c r="H335" i="2"/>
  <c r="G335" i="2"/>
  <c r="F335" i="2"/>
  <c r="E335" i="2"/>
  <c r="Q331" i="2"/>
  <c r="O331" i="2"/>
  <c r="N331" i="2"/>
  <c r="M331" i="2"/>
  <c r="K331" i="2"/>
  <c r="J331" i="2"/>
  <c r="I331" i="2"/>
  <c r="H331" i="2"/>
  <c r="G331" i="2"/>
  <c r="F331" i="2"/>
  <c r="E331" i="2"/>
  <c r="Q320" i="2"/>
  <c r="O320" i="2"/>
  <c r="N320" i="2"/>
  <c r="M320" i="2"/>
  <c r="K320" i="2"/>
  <c r="J320" i="2"/>
  <c r="I320" i="2"/>
  <c r="H320" i="2"/>
  <c r="G320" i="2"/>
  <c r="F320" i="2"/>
  <c r="E320" i="2"/>
  <c r="Q318" i="2"/>
  <c r="O318" i="2"/>
  <c r="N318" i="2"/>
  <c r="M318" i="2"/>
  <c r="K318" i="2"/>
  <c r="J318" i="2"/>
  <c r="I318" i="2"/>
  <c r="H318" i="2"/>
  <c r="G318" i="2"/>
  <c r="F318" i="2"/>
  <c r="E318" i="2"/>
  <c r="Q311" i="2"/>
  <c r="O311" i="2"/>
  <c r="N311" i="2"/>
  <c r="M311" i="2"/>
  <c r="K311" i="2"/>
  <c r="J311" i="2"/>
  <c r="I311" i="2"/>
  <c r="H311" i="2"/>
  <c r="G311" i="2"/>
  <c r="F311" i="2"/>
  <c r="E311" i="2"/>
  <c r="Q308" i="2"/>
  <c r="O308" i="2"/>
  <c r="N308" i="2"/>
  <c r="M308" i="2"/>
  <c r="K308" i="2"/>
  <c r="J308" i="2"/>
  <c r="I308" i="2"/>
  <c r="H308" i="2"/>
  <c r="G308" i="2"/>
  <c r="F308" i="2"/>
  <c r="E308" i="2"/>
  <c r="Q304" i="2"/>
  <c r="O304" i="2"/>
  <c r="N304" i="2"/>
  <c r="M304" i="2"/>
  <c r="K304" i="2"/>
  <c r="J304" i="2"/>
  <c r="I304" i="2"/>
  <c r="H304" i="2"/>
  <c r="G304" i="2"/>
  <c r="F304" i="2"/>
  <c r="E304" i="2"/>
  <c r="Q300" i="2"/>
  <c r="O300" i="2"/>
  <c r="N300" i="2"/>
  <c r="M300" i="2"/>
  <c r="K300" i="2"/>
  <c r="J300" i="2"/>
  <c r="I300" i="2"/>
  <c r="H300" i="2"/>
  <c r="G300" i="2"/>
  <c r="F300" i="2"/>
  <c r="E300" i="2"/>
  <c r="Q289" i="2"/>
  <c r="O289" i="2"/>
  <c r="N289" i="2"/>
  <c r="M289" i="2"/>
  <c r="K289" i="2"/>
  <c r="J289" i="2"/>
  <c r="I289" i="2"/>
  <c r="H289" i="2"/>
  <c r="G289" i="2"/>
  <c r="F289" i="2"/>
  <c r="E289" i="2"/>
  <c r="Q287" i="2"/>
  <c r="O287" i="2"/>
  <c r="N287" i="2"/>
  <c r="M287" i="2"/>
  <c r="K287" i="2"/>
  <c r="J287" i="2"/>
  <c r="I287" i="2"/>
  <c r="H287" i="2"/>
  <c r="G287" i="2"/>
  <c r="F287" i="2"/>
  <c r="E287" i="2"/>
  <c r="Q280" i="2"/>
  <c r="O280" i="2"/>
  <c r="N280" i="2"/>
  <c r="M280" i="2"/>
  <c r="K280" i="2"/>
  <c r="J280" i="2"/>
  <c r="I280" i="2"/>
  <c r="H280" i="2"/>
  <c r="G280" i="2"/>
  <c r="F280" i="2"/>
  <c r="E280" i="2"/>
  <c r="Q277" i="2"/>
  <c r="O277" i="2"/>
  <c r="N277" i="2"/>
  <c r="M277" i="2"/>
  <c r="K277" i="2"/>
  <c r="J277" i="2"/>
  <c r="I277" i="2"/>
  <c r="H277" i="2"/>
  <c r="G277" i="2"/>
  <c r="F277" i="2"/>
  <c r="E277" i="2"/>
  <c r="Q273" i="2"/>
  <c r="O273" i="2"/>
  <c r="N273" i="2"/>
  <c r="M273" i="2"/>
  <c r="K273" i="2"/>
  <c r="J273" i="2"/>
  <c r="I273" i="2"/>
  <c r="H273" i="2"/>
  <c r="G273" i="2"/>
  <c r="F273" i="2"/>
  <c r="E273" i="2"/>
  <c r="Q269" i="2"/>
  <c r="O269" i="2"/>
  <c r="N269" i="2"/>
  <c r="M269" i="2"/>
  <c r="K269" i="2"/>
  <c r="J269" i="2"/>
  <c r="I269" i="2"/>
  <c r="H269" i="2"/>
  <c r="G269" i="2"/>
  <c r="F269" i="2"/>
  <c r="E269" i="2"/>
  <c r="Q258" i="2"/>
  <c r="O258" i="2"/>
  <c r="N258" i="2"/>
  <c r="M258" i="2"/>
  <c r="K258" i="2"/>
  <c r="J258" i="2"/>
  <c r="I258" i="2"/>
  <c r="H258" i="2"/>
  <c r="G258" i="2"/>
  <c r="F258" i="2"/>
  <c r="E258" i="2"/>
  <c r="Q256" i="2"/>
  <c r="O256" i="2"/>
  <c r="N256" i="2"/>
  <c r="M256" i="2"/>
  <c r="K256" i="2"/>
  <c r="J256" i="2"/>
  <c r="I256" i="2"/>
  <c r="H256" i="2"/>
  <c r="G256" i="2"/>
  <c r="F256" i="2"/>
  <c r="E256" i="2"/>
  <c r="Q249" i="2"/>
  <c r="O249" i="2"/>
  <c r="N249" i="2"/>
  <c r="M249" i="2"/>
  <c r="K249" i="2"/>
  <c r="J249" i="2"/>
  <c r="I249" i="2"/>
  <c r="H249" i="2"/>
  <c r="G249" i="2"/>
  <c r="F249" i="2"/>
  <c r="E249" i="2"/>
  <c r="Q246" i="2"/>
  <c r="O246" i="2"/>
  <c r="N246" i="2"/>
  <c r="M246" i="2"/>
  <c r="K246" i="2"/>
  <c r="J246" i="2"/>
  <c r="I246" i="2"/>
  <c r="H246" i="2"/>
  <c r="G246" i="2"/>
  <c r="F246" i="2"/>
  <c r="E246" i="2"/>
  <c r="G326" i="2"/>
  <c r="Q323" i="2"/>
  <c r="O323" i="2"/>
  <c r="N323" i="2"/>
  <c r="M323" i="2"/>
  <c r="K323" i="2"/>
  <c r="J323" i="2"/>
  <c r="I323" i="2"/>
  <c r="H323" i="2"/>
  <c r="G323" i="2"/>
  <c r="F323" i="2"/>
  <c r="E323" i="2"/>
  <c r="Q319" i="2"/>
  <c r="O319" i="2"/>
  <c r="N319" i="2"/>
  <c r="M319" i="2"/>
  <c r="K319" i="2"/>
  <c r="J319" i="2"/>
  <c r="I319" i="2"/>
  <c r="H319" i="2"/>
  <c r="G319" i="2"/>
  <c r="F319" i="2"/>
  <c r="E319" i="2"/>
  <c r="G295" i="2"/>
  <c r="Q292" i="2"/>
  <c r="O292" i="2"/>
  <c r="N292" i="2"/>
  <c r="M292" i="2"/>
  <c r="K292" i="2"/>
  <c r="J292" i="2"/>
  <c r="I292" i="2"/>
  <c r="H292" i="2"/>
  <c r="G292" i="2"/>
  <c r="F292" i="2"/>
  <c r="E292" i="2"/>
  <c r="Q288" i="2"/>
  <c r="O288" i="2"/>
  <c r="N288" i="2"/>
  <c r="M288" i="2"/>
  <c r="K288" i="2"/>
  <c r="J288" i="2"/>
  <c r="I288" i="2"/>
  <c r="H288" i="2"/>
  <c r="G288" i="2"/>
  <c r="F288" i="2"/>
  <c r="E288" i="2"/>
  <c r="G264" i="2"/>
  <c r="Q261" i="2"/>
  <c r="O261" i="2"/>
  <c r="N261" i="2"/>
  <c r="M261" i="2"/>
  <c r="K261" i="2"/>
  <c r="J261" i="2"/>
  <c r="I261" i="2"/>
  <c r="H261" i="2"/>
  <c r="G261" i="2"/>
  <c r="F261" i="2"/>
  <c r="E261" i="2"/>
  <c r="Q257" i="2"/>
  <c r="O257" i="2"/>
  <c r="N257" i="2"/>
  <c r="M257" i="2"/>
  <c r="K257" i="2"/>
  <c r="J257" i="2"/>
  <c r="I257" i="2"/>
  <c r="H257" i="2"/>
  <c r="G257" i="2"/>
  <c r="F257" i="2"/>
  <c r="E257" i="2"/>
  <c r="Q242" i="2"/>
  <c r="O242" i="2"/>
  <c r="N242" i="2"/>
  <c r="M242" i="2"/>
  <c r="K242" i="2"/>
  <c r="J242" i="2"/>
  <c r="I242" i="2"/>
  <c r="H242" i="2"/>
  <c r="G242" i="2"/>
  <c r="F242" i="2"/>
  <c r="E242" i="2"/>
  <c r="Q238" i="2"/>
  <c r="O238" i="2"/>
  <c r="N238" i="2"/>
  <c r="M238" i="2"/>
  <c r="K238" i="2"/>
  <c r="J238" i="2"/>
  <c r="I238" i="2"/>
  <c r="H238" i="2"/>
  <c r="G238" i="2"/>
  <c r="F238" i="2"/>
  <c r="E238" i="2"/>
  <c r="G233" i="2"/>
  <c r="Q230" i="2"/>
  <c r="O230" i="2"/>
  <c r="N230" i="2"/>
  <c r="M230" i="2"/>
  <c r="K230" i="2"/>
  <c r="J230" i="2"/>
  <c r="I230" i="2"/>
  <c r="H230" i="2"/>
  <c r="G230" i="2"/>
  <c r="F230" i="2"/>
  <c r="E230" i="2"/>
  <c r="Q227" i="2"/>
  <c r="O227" i="2"/>
  <c r="N227" i="2"/>
  <c r="M227" i="2"/>
  <c r="K227" i="2"/>
  <c r="J227" i="2"/>
  <c r="I227" i="2"/>
  <c r="H227" i="2"/>
  <c r="G227" i="2"/>
  <c r="F227" i="2"/>
  <c r="E227" i="2"/>
  <c r="Q226" i="2"/>
  <c r="O226" i="2"/>
  <c r="N226" i="2"/>
  <c r="M226" i="2"/>
  <c r="K226" i="2"/>
  <c r="J226" i="2"/>
  <c r="I226" i="2"/>
  <c r="H226" i="2"/>
  <c r="G226" i="2"/>
  <c r="F226" i="2"/>
  <c r="E226" i="2"/>
  <c r="Q225" i="2"/>
  <c r="O225" i="2"/>
  <c r="N225" i="2"/>
  <c r="M225" i="2"/>
  <c r="K225" i="2"/>
  <c r="J225" i="2"/>
  <c r="I225" i="2"/>
  <c r="H225" i="2"/>
  <c r="G225" i="2"/>
  <c r="F225" i="2"/>
  <c r="E225" i="2"/>
  <c r="Q218" i="2"/>
  <c r="O218" i="2"/>
  <c r="N218" i="2"/>
  <c r="M218" i="2"/>
  <c r="K218" i="2"/>
  <c r="J218" i="2"/>
  <c r="I218" i="2"/>
  <c r="H218" i="2"/>
  <c r="G218" i="2"/>
  <c r="F218" i="2"/>
  <c r="E218" i="2"/>
  <c r="Q215" i="2"/>
  <c r="O215" i="2"/>
  <c r="N215" i="2"/>
  <c r="M215" i="2"/>
  <c r="K215" i="2"/>
  <c r="J215" i="2"/>
  <c r="I215" i="2"/>
  <c r="H215" i="2"/>
  <c r="G215" i="2"/>
  <c r="F215" i="2"/>
  <c r="E215" i="2"/>
  <c r="D11" i="14" l="1"/>
  <c r="D17" i="14" s="1"/>
  <c r="F101" i="14"/>
  <c r="E100" i="14"/>
  <c r="F101" i="12" l="1"/>
  <c r="E100" i="12"/>
  <c r="F21" i="12" l="1"/>
  <c r="M79" i="29"/>
  <c r="M80" i="31"/>
  <c r="M79" i="31"/>
  <c r="M80" i="30"/>
  <c r="M79" i="30"/>
  <c r="L289" i="2" s="1"/>
  <c r="M80" i="29"/>
  <c r="M80" i="20"/>
  <c r="M79" i="20"/>
  <c r="R68" i="31"/>
  <c r="P68" i="31"/>
  <c r="O68" i="31"/>
  <c r="P69" i="31" s="1"/>
  <c r="N68" i="31"/>
  <c r="L68" i="31"/>
  <c r="K68" i="31"/>
  <c r="J68" i="31"/>
  <c r="I68" i="31"/>
  <c r="H68" i="31"/>
  <c r="G68" i="31"/>
  <c r="F68" i="31"/>
  <c r="H65" i="31"/>
  <c r="R64" i="31"/>
  <c r="P64" i="31"/>
  <c r="O64" i="31"/>
  <c r="N64" i="31"/>
  <c r="L64" i="31"/>
  <c r="K64" i="31"/>
  <c r="J64" i="31"/>
  <c r="I64" i="31"/>
  <c r="H64" i="31"/>
  <c r="G64" i="31"/>
  <c r="F64" i="31"/>
  <c r="M52" i="31"/>
  <c r="M50" i="31"/>
  <c r="M47" i="31"/>
  <c r="R39" i="31"/>
  <c r="P39" i="31"/>
  <c r="O39" i="31"/>
  <c r="N39" i="31"/>
  <c r="L39" i="31"/>
  <c r="K39" i="31"/>
  <c r="J39" i="31"/>
  <c r="I39" i="31"/>
  <c r="H39" i="31"/>
  <c r="G39" i="31"/>
  <c r="F39" i="31"/>
  <c r="R31" i="31"/>
  <c r="R60" i="31" s="1"/>
  <c r="P31" i="31"/>
  <c r="P60" i="31" s="1"/>
  <c r="O31" i="31"/>
  <c r="O60" i="31" s="1"/>
  <c r="N31" i="31"/>
  <c r="N60" i="31" s="1"/>
  <c r="L31" i="31"/>
  <c r="L60" i="31" s="1"/>
  <c r="K31" i="31"/>
  <c r="K60" i="31" s="1"/>
  <c r="M30" i="31"/>
  <c r="M29" i="31"/>
  <c r="M28" i="31"/>
  <c r="M27" i="31"/>
  <c r="M26" i="31"/>
  <c r="M25" i="31"/>
  <c r="M24" i="31"/>
  <c r="M23" i="31"/>
  <c r="M22" i="31"/>
  <c r="R18" i="31"/>
  <c r="P18" i="31"/>
  <c r="O18" i="31"/>
  <c r="N18" i="31"/>
  <c r="L18" i="31"/>
  <c r="K18" i="31"/>
  <c r="J18" i="31"/>
  <c r="I18" i="31"/>
  <c r="H18" i="31"/>
  <c r="G18" i="31"/>
  <c r="F18" i="31"/>
  <c r="M17" i="31"/>
  <c r="M16" i="31"/>
  <c r="M15" i="31"/>
  <c r="M14" i="31"/>
  <c r="M13" i="31"/>
  <c r="M12" i="31"/>
  <c r="A3" i="31"/>
  <c r="R68" i="30"/>
  <c r="P68" i="30"/>
  <c r="O68" i="30"/>
  <c r="N68" i="30"/>
  <c r="L68" i="30"/>
  <c r="K68" i="30"/>
  <c r="J68" i="30"/>
  <c r="I68" i="30"/>
  <c r="H68" i="30"/>
  <c r="G68" i="30"/>
  <c r="F68" i="30"/>
  <c r="H65" i="30"/>
  <c r="R64" i="30"/>
  <c r="P64" i="30"/>
  <c r="O64" i="30"/>
  <c r="N64" i="30"/>
  <c r="L64" i="30"/>
  <c r="K64" i="30"/>
  <c r="J64" i="30"/>
  <c r="I64" i="30"/>
  <c r="H64" i="30"/>
  <c r="G64" i="30"/>
  <c r="F64" i="30"/>
  <c r="M52" i="30"/>
  <c r="M51" i="30"/>
  <c r="M50" i="30"/>
  <c r="M47" i="30"/>
  <c r="R39" i="30"/>
  <c r="P39" i="30"/>
  <c r="O39" i="30"/>
  <c r="N39" i="30"/>
  <c r="L39" i="30"/>
  <c r="K39" i="30"/>
  <c r="J39" i="30"/>
  <c r="I39" i="30"/>
  <c r="H39" i="30"/>
  <c r="G39" i="30"/>
  <c r="F39" i="30"/>
  <c r="R31" i="30"/>
  <c r="R60" i="30" s="1"/>
  <c r="P31" i="30"/>
  <c r="P60" i="30" s="1"/>
  <c r="O31" i="30"/>
  <c r="O60" i="30" s="1"/>
  <c r="N31" i="30"/>
  <c r="N60" i="30" s="1"/>
  <c r="L31" i="30"/>
  <c r="L60" i="30" s="1"/>
  <c r="K31" i="30"/>
  <c r="K60" i="30" s="1"/>
  <c r="M30" i="30"/>
  <c r="M29" i="30"/>
  <c r="M28" i="30"/>
  <c r="M27" i="30"/>
  <c r="M26" i="30"/>
  <c r="M25" i="30"/>
  <c r="M24" i="30"/>
  <c r="M23" i="30"/>
  <c r="M22" i="30"/>
  <c r="R18" i="30"/>
  <c r="P18" i="30"/>
  <c r="O18" i="30"/>
  <c r="N18" i="30"/>
  <c r="L18" i="30"/>
  <c r="K18" i="30"/>
  <c r="J18" i="30"/>
  <c r="I18" i="30"/>
  <c r="H18" i="30"/>
  <c r="G18" i="30"/>
  <c r="F18" i="30"/>
  <c r="M17" i="30"/>
  <c r="M16" i="30"/>
  <c r="M15" i="30"/>
  <c r="M14" i="30"/>
  <c r="M13" i="30"/>
  <c r="M12" i="30"/>
  <c r="A3" i="30"/>
  <c r="R68" i="29"/>
  <c r="P68" i="29"/>
  <c r="O68" i="29"/>
  <c r="N68" i="29"/>
  <c r="L68" i="29"/>
  <c r="K68" i="29"/>
  <c r="J68" i="29"/>
  <c r="I68" i="29"/>
  <c r="H68" i="29"/>
  <c r="G68" i="29"/>
  <c r="F68" i="29"/>
  <c r="H65" i="29"/>
  <c r="R64" i="29"/>
  <c r="P64" i="29"/>
  <c r="O64" i="29"/>
  <c r="N64" i="29"/>
  <c r="L64" i="29"/>
  <c r="K64" i="29"/>
  <c r="J64" i="29"/>
  <c r="I64" i="29"/>
  <c r="H64" i="29"/>
  <c r="G64" i="29"/>
  <c r="F64" i="29"/>
  <c r="M52" i="29"/>
  <c r="M51" i="29"/>
  <c r="M50" i="29"/>
  <c r="M47" i="29"/>
  <c r="R39" i="29"/>
  <c r="P39" i="29"/>
  <c r="O39" i="29"/>
  <c r="N39" i="29"/>
  <c r="L39" i="29"/>
  <c r="K39" i="29"/>
  <c r="J39" i="29"/>
  <c r="I39" i="29"/>
  <c r="H39" i="29"/>
  <c r="G39" i="29"/>
  <c r="F39" i="29"/>
  <c r="R31" i="29"/>
  <c r="R60" i="29" s="1"/>
  <c r="P31" i="29"/>
  <c r="P60" i="29" s="1"/>
  <c r="O31" i="29"/>
  <c r="O60" i="29" s="1"/>
  <c r="N31" i="29"/>
  <c r="N60" i="29" s="1"/>
  <c r="L31" i="29"/>
  <c r="L60" i="29" s="1"/>
  <c r="K31" i="29"/>
  <c r="K60" i="29" s="1"/>
  <c r="M30" i="29"/>
  <c r="M29" i="29"/>
  <c r="M28" i="29"/>
  <c r="M27" i="29"/>
  <c r="M26" i="29"/>
  <c r="M25" i="29"/>
  <c r="M24" i="29"/>
  <c r="M23" i="29"/>
  <c r="M22" i="29"/>
  <c r="R18" i="29"/>
  <c r="P18" i="29"/>
  <c r="O18" i="29"/>
  <c r="N18" i="29"/>
  <c r="L18" i="29"/>
  <c r="K18" i="29"/>
  <c r="J18" i="29"/>
  <c r="I18" i="29"/>
  <c r="H18" i="29"/>
  <c r="G18" i="29"/>
  <c r="F18" i="29"/>
  <c r="M17" i="29"/>
  <c r="M16" i="29"/>
  <c r="M15" i="29"/>
  <c r="M14" i="29"/>
  <c r="M13" i="29"/>
  <c r="M12" i="29"/>
  <c r="A3" i="29"/>
  <c r="M11" i="29" l="1"/>
  <c r="L320" i="2"/>
  <c r="M60" i="31"/>
  <c r="M60" i="30"/>
  <c r="M60" i="29"/>
  <c r="L277" i="2"/>
  <c r="L308" i="2"/>
  <c r="L246" i="2"/>
  <c r="M252" i="2"/>
  <c r="M247" i="2"/>
  <c r="M248" i="2"/>
  <c r="N265" i="2"/>
  <c r="N272" i="2"/>
  <c r="N270" i="2"/>
  <c r="N268" i="2"/>
  <c r="N271" i="2"/>
  <c r="N267" i="2"/>
  <c r="N296" i="2"/>
  <c r="N298" i="2"/>
  <c r="N303" i="2"/>
  <c r="N301" i="2"/>
  <c r="N299" i="2"/>
  <c r="N302" i="2"/>
  <c r="R61" i="31"/>
  <c r="Q312" i="2"/>
  <c r="Q306" i="2"/>
  <c r="Q313" i="2"/>
  <c r="Q307" i="2"/>
  <c r="O41" i="31"/>
  <c r="N333" i="2"/>
  <c r="N329" i="2"/>
  <c r="N334" i="2"/>
  <c r="N332" i="2"/>
  <c r="N330" i="2"/>
  <c r="N322" i="2"/>
  <c r="N321" i="2"/>
  <c r="N260" i="2"/>
  <c r="N259" i="2"/>
  <c r="L61" i="30"/>
  <c r="K281" i="2"/>
  <c r="K275" i="2"/>
  <c r="K282" i="2"/>
  <c r="K276" i="2"/>
  <c r="M283" i="2"/>
  <c r="M278" i="2"/>
  <c r="M279" i="2"/>
  <c r="N291" i="2"/>
  <c r="N290" i="2"/>
  <c r="N32" i="31"/>
  <c r="M314" i="2"/>
  <c r="M309" i="2"/>
  <c r="M310" i="2"/>
  <c r="N61" i="29"/>
  <c r="M250" i="2"/>
  <c r="M244" i="2"/>
  <c r="M251" i="2"/>
  <c r="M245" i="2"/>
  <c r="L249" i="2"/>
  <c r="N248" i="2"/>
  <c r="N252" i="2"/>
  <c r="N247" i="2"/>
  <c r="J265" i="2"/>
  <c r="J268" i="2"/>
  <c r="J271" i="2"/>
  <c r="J267" i="2"/>
  <c r="J272" i="2"/>
  <c r="J270" i="2"/>
  <c r="O266" i="2"/>
  <c r="O268" i="2"/>
  <c r="O271" i="2"/>
  <c r="O267" i="2"/>
  <c r="O265" i="2"/>
  <c r="O272" i="2"/>
  <c r="O270" i="2"/>
  <c r="O260" i="2"/>
  <c r="O259" i="2"/>
  <c r="M282" i="2"/>
  <c r="M276" i="2"/>
  <c r="M281" i="2"/>
  <c r="M275" i="2"/>
  <c r="L280" i="2"/>
  <c r="N283" i="2"/>
  <c r="N278" i="2"/>
  <c r="N279" i="2"/>
  <c r="J296" i="2"/>
  <c r="J303" i="2"/>
  <c r="J301" i="2"/>
  <c r="J299" i="2"/>
  <c r="J297" i="2"/>
  <c r="J302" i="2"/>
  <c r="J298" i="2"/>
  <c r="O296" i="2"/>
  <c r="O303" i="2"/>
  <c r="O301" i="2"/>
  <c r="O299" i="2"/>
  <c r="O302" i="2"/>
  <c r="O298" i="2"/>
  <c r="O291" i="2"/>
  <c r="O290" i="2"/>
  <c r="M312" i="2"/>
  <c r="M306" i="2"/>
  <c r="M313" i="2"/>
  <c r="M307" i="2"/>
  <c r="L311" i="2"/>
  <c r="N314" i="2"/>
  <c r="N309" i="2"/>
  <c r="N310" i="2"/>
  <c r="K41" i="31"/>
  <c r="J329" i="2"/>
  <c r="J334" i="2"/>
  <c r="J332" i="2"/>
  <c r="J330" i="2"/>
  <c r="J333" i="2"/>
  <c r="P41" i="31"/>
  <c r="O329" i="2"/>
  <c r="O334" i="2"/>
  <c r="O332" i="2"/>
  <c r="O330" i="2"/>
  <c r="O333" i="2"/>
  <c r="O322" i="2"/>
  <c r="O321" i="2"/>
  <c r="L61" i="29"/>
  <c r="K250" i="2"/>
  <c r="K244" i="2"/>
  <c r="K251" i="2"/>
  <c r="K245" i="2"/>
  <c r="R61" i="30"/>
  <c r="Q281" i="2"/>
  <c r="Q275" i="2"/>
  <c r="Q282" i="2"/>
  <c r="Q276" i="2"/>
  <c r="L61" i="31"/>
  <c r="K312" i="2"/>
  <c r="K306" i="2"/>
  <c r="K313" i="2"/>
  <c r="K307" i="2"/>
  <c r="O61" i="29"/>
  <c r="N250" i="2"/>
  <c r="N244" i="2"/>
  <c r="N251" i="2"/>
  <c r="N245" i="2"/>
  <c r="J248" i="2"/>
  <c r="J252" i="2"/>
  <c r="J247" i="2"/>
  <c r="O252" i="2"/>
  <c r="O247" i="2"/>
  <c r="O248" i="2"/>
  <c r="K265" i="2"/>
  <c r="K271" i="2"/>
  <c r="K267" i="2"/>
  <c r="K272" i="2"/>
  <c r="K270" i="2"/>
  <c r="K268" i="2"/>
  <c r="R41" i="29"/>
  <c r="Q266" i="2" s="1"/>
  <c r="Q271" i="2"/>
  <c r="Q267" i="2"/>
  <c r="Q272" i="2"/>
  <c r="Q270" i="2"/>
  <c r="Q268" i="2"/>
  <c r="K260" i="2"/>
  <c r="K259" i="2"/>
  <c r="O61" i="30"/>
  <c r="N281" i="2"/>
  <c r="N275" i="2"/>
  <c r="N282" i="2"/>
  <c r="N276" i="2"/>
  <c r="J283" i="2"/>
  <c r="J278" i="2"/>
  <c r="J279" i="2"/>
  <c r="O279" i="2"/>
  <c r="O283" i="2"/>
  <c r="O278" i="2"/>
  <c r="K296" i="2"/>
  <c r="K299" i="2"/>
  <c r="K302" i="2"/>
  <c r="K298" i="2"/>
  <c r="K303" i="2"/>
  <c r="K301" i="2"/>
  <c r="Q297" i="2"/>
  <c r="Q299" i="2"/>
  <c r="Q302" i="2"/>
  <c r="Q298" i="2"/>
  <c r="Q296" i="2"/>
  <c r="Q303" i="2"/>
  <c r="Q301" i="2"/>
  <c r="K291" i="2"/>
  <c r="K290" i="2"/>
  <c r="O61" i="31"/>
  <c r="N313" i="2"/>
  <c r="N307" i="2"/>
  <c r="N312" i="2"/>
  <c r="N306" i="2"/>
  <c r="J314" i="2"/>
  <c r="J309" i="2"/>
  <c r="J310" i="2"/>
  <c r="O314" i="2"/>
  <c r="O309" i="2"/>
  <c r="O310" i="2"/>
  <c r="L41" i="31"/>
  <c r="K334" i="2"/>
  <c r="K332" i="2"/>
  <c r="K330" i="2"/>
  <c r="K328" i="2"/>
  <c r="K333" i="2"/>
  <c r="K329" i="2"/>
  <c r="R41" i="31"/>
  <c r="Q334" i="2"/>
  <c r="Q332" i="2"/>
  <c r="Q330" i="2"/>
  <c r="Q328" i="2"/>
  <c r="Q333" i="2"/>
  <c r="Q329" i="2"/>
  <c r="K322" i="2"/>
  <c r="K321" i="2"/>
  <c r="L258" i="2"/>
  <c r="Q251" i="2"/>
  <c r="Q245" i="2"/>
  <c r="Q250" i="2"/>
  <c r="Q244" i="2"/>
  <c r="K61" i="29"/>
  <c r="J250" i="2"/>
  <c r="J244" i="2"/>
  <c r="J251" i="2"/>
  <c r="J245" i="2"/>
  <c r="P61" i="29"/>
  <c r="O250" i="2"/>
  <c r="O244" i="2"/>
  <c r="O251" i="2"/>
  <c r="O245" i="2"/>
  <c r="K252" i="2"/>
  <c r="K247" i="2"/>
  <c r="K248" i="2"/>
  <c r="Q252" i="2"/>
  <c r="Q247" i="2"/>
  <c r="Q248" i="2"/>
  <c r="M265" i="2"/>
  <c r="M267" i="2"/>
  <c r="M272" i="2"/>
  <c r="M270" i="2"/>
  <c r="M268" i="2"/>
  <c r="M271" i="2"/>
  <c r="M260" i="2"/>
  <c r="M259" i="2"/>
  <c r="G262" i="2"/>
  <c r="G263" i="2"/>
  <c r="K61" i="30"/>
  <c r="J281" i="2"/>
  <c r="J275" i="2"/>
  <c r="J282" i="2"/>
  <c r="J276" i="2"/>
  <c r="P61" i="30"/>
  <c r="O281" i="2"/>
  <c r="O275" i="2"/>
  <c r="O282" i="2"/>
  <c r="O276" i="2"/>
  <c r="K279" i="2"/>
  <c r="K283" i="2"/>
  <c r="K278" i="2"/>
  <c r="Q283" i="2"/>
  <c r="Q278" i="2"/>
  <c r="Q279" i="2"/>
  <c r="M296" i="2"/>
  <c r="M302" i="2"/>
  <c r="M298" i="2"/>
  <c r="M303" i="2"/>
  <c r="M301" i="2"/>
  <c r="M299" i="2"/>
  <c r="M291" i="2"/>
  <c r="M290" i="2"/>
  <c r="G294" i="2"/>
  <c r="G293" i="2"/>
  <c r="K61" i="31"/>
  <c r="J313" i="2"/>
  <c r="J307" i="2"/>
  <c r="J312" i="2"/>
  <c r="J306" i="2"/>
  <c r="P61" i="31"/>
  <c r="O312" i="2"/>
  <c r="O306" i="2"/>
  <c r="O313" i="2"/>
  <c r="O307" i="2"/>
  <c r="K314" i="2"/>
  <c r="K309" i="2"/>
  <c r="K310" i="2"/>
  <c r="Q310" i="2"/>
  <c r="Q314" i="2"/>
  <c r="Q309" i="2"/>
  <c r="N41" i="31"/>
  <c r="M330" i="2"/>
  <c r="M333" i="2"/>
  <c r="M329" i="2"/>
  <c r="M334" i="2"/>
  <c r="M332" i="2"/>
  <c r="M322" i="2"/>
  <c r="M321" i="2"/>
  <c r="G325" i="2"/>
  <c r="G324" i="2"/>
  <c r="L227" i="2"/>
  <c r="L69" i="31"/>
  <c r="J260" i="2"/>
  <c r="J259" i="2"/>
  <c r="J291" i="2"/>
  <c r="J290" i="2"/>
  <c r="J321" i="2"/>
  <c r="J322" i="2"/>
  <c r="Q290" i="2"/>
  <c r="Q291" i="2"/>
  <c r="Q321" i="2"/>
  <c r="Q322" i="2"/>
  <c r="Q260" i="2"/>
  <c r="Q259" i="2"/>
  <c r="I69" i="30"/>
  <c r="G69" i="31"/>
  <c r="F260" i="2"/>
  <c r="F259" i="2"/>
  <c r="F291" i="2"/>
  <c r="F290" i="2"/>
  <c r="F322" i="2"/>
  <c r="F321" i="2"/>
  <c r="G259" i="2"/>
  <c r="G260" i="2"/>
  <c r="G290" i="2"/>
  <c r="G291" i="2"/>
  <c r="G321" i="2"/>
  <c r="G322" i="2"/>
  <c r="H321" i="2"/>
  <c r="H322" i="2"/>
  <c r="H259" i="2"/>
  <c r="H260" i="2"/>
  <c r="H290" i="2"/>
  <c r="H291" i="2"/>
  <c r="E259" i="2"/>
  <c r="E260" i="2"/>
  <c r="I259" i="2"/>
  <c r="I260" i="2"/>
  <c r="E290" i="2"/>
  <c r="E291" i="2"/>
  <c r="I290" i="2"/>
  <c r="I291" i="2"/>
  <c r="E321" i="2"/>
  <c r="E322" i="2"/>
  <c r="I321" i="2"/>
  <c r="I322" i="2"/>
  <c r="H41" i="29"/>
  <c r="G266" i="2" s="1"/>
  <c r="G270" i="2"/>
  <c r="G271" i="2"/>
  <c r="G267" i="2"/>
  <c r="G272" i="2"/>
  <c r="G268" i="2"/>
  <c r="I41" i="29"/>
  <c r="H265" i="2" s="1"/>
  <c r="H271" i="2"/>
  <c r="H267" i="2"/>
  <c r="H272" i="2"/>
  <c r="H268" i="2"/>
  <c r="H270" i="2"/>
  <c r="G41" i="29"/>
  <c r="F266" i="2" s="1"/>
  <c r="F270" i="2"/>
  <c r="F271" i="2"/>
  <c r="F267" i="2"/>
  <c r="F272" i="2"/>
  <c r="F268" i="2"/>
  <c r="F41" i="29"/>
  <c r="E266" i="2" s="1"/>
  <c r="E272" i="2"/>
  <c r="E268" i="2"/>
  <c r="E271" i="2"/>
  <c r="E267" i="2"/>
  <c r="E270" i="2"/>
  <c r="J41" i="29"/>
  <c r="I265" i="2" s="1"/>
  <c r="I272" i="2"/>
  <c r="I268" i="2"/>
  <c r="I271" i="2"/>
  <c r="I267" i="2"/>
  <c r="I270" i="2"/>
  <c r="J61" i="29"/>
  <c r="I245" i="2"/>
  <c r="I244" i="2"/>
  <c r="I251" i="2"/>
  <c r="G61" i="29"/>
  <c r="F251" i="2"/>
  <c r="F250" i="2"/>
  <c r="F245" i="2"/>
  <c r="F244" i="2"/>
  <c r="H251" i="2"/>
  <c r="H250" i="2"/>
  <c r="H245" i="2"/>
  <c r="H244" i="2"/>
  <c r="F61" i="29"/>
  <c r="E251" i="2"/>
  <c r="E245" i="2"/>
  <c r="E244" i="2"/>
  <c r="H61" i="29"/>
  <c r="G251" i="2"/>
  <c r="G245" i="2"/>
  <c r="G244" i="2"/>
  <c r="J41" i="30"/>
  <c r="I296" i="2" s="1"/>
  <c r="I303" i="2"/>
  <c r="I299" i="2"/>
  <c r="I301" i="2"/>
  <c r="I297" i="2"/>
  <c r="I302" i="2"/>
  <c r="I298" i="2"/>
  <c r="G41" i="30"/>
  <c r="F297" i="2" s="1"/>
  <c r="F296" i="2"/>
  <c r="F301" i="2"/>
  <c r="F302" i="2"/>
  <c r="F298" i="2"/>
  <c r="F303" i="2"/>
  <c r="F299" i="2"/>
  <c r="I41" i="30"/>
  <c r="H297" i="2" s="1"/>
  <c r="H302" i="2"/>
  <c r="H298" i="2"/>
  <c r="H303" i="2"/>
  <c r="H299" i="2"/>
  <c r="H296" i="2"/>
  <c r="H301" i="2"/>
  <c r="F41" i="30"/>
  <c r="E296" i="2" s="1"/>
  <c r="E303" i="2"/>
  <c r="E299" i="2"/>
  <c r="E301" i="2"/>
  <c r="E297" i="2"/>
  <c r="E302" i="2"/>
  <c r="E298" i="2"/>
  <c r="H41" i="30"/>
  <c r="G297" i="2" s="1"/>
  <c r="G301" i="2"/>
  <c r="G302" i="2"/>
  <c r="G298" i="2"/>
  <c r="G303" i="2"/>
  <c r="G299" i="2"/>
  <c r="I61" i="30"/>
  <c r="H282" i="2"/>
  <c r="H276" i="2"/>
  <c r="H275" i="2"/>
  <c r="E282" i="2"/>
  <c r="E281" i="2"/>
  <c r="E276" i="2"/>
  <c r="E275" i="2"/>
  <c r="I282" i="2"/>
  <c r="I281" i="2"/>
  <c r="I276" i="2"/>
  <c r="I275" i="2"/>
  <c r="H61" i="30"/>
  <c r="G282" i="2"/>
  <c r="G275" i="2"/>
  <c r="G276" i="2"/>
  <c r="G61" i="30"/>
  <c r="F282" i="2"/>
  <c r="F276" i="2"/>
  <c r="F275" i="2"/>
  <c r="F41" i="31"/>
  <c r="E328" i="2" s="1"/>
  <c r="E332" i="2"/>
  <c r="E333" i="2"/>
  <c r="E329" i="2"/>
  <c r="E334" i="2"/>
  <c r="E330" i="2"/>
  <c r="E327" i="2"/>
  <c r="H41" i="31"/>
  <c r="G328" i="2" s="1"/>
  <c r="G334" i="2"/>
  <c r="G330" i="2"/>
  <c r="G332" i="2"/>
  <c r="G333" i="2"/>
  <c r="G329" i="2"/>
  <c r="J41" i="31"/>
  <c r="I327" i="2" s="1"/>
  <c r="I332" i="2"/>
  <c r="I333" i="2"/>
  <c r="I329" i="2"/>
  <c r="I334" i="2"/>
  <c r="I330" i="2"/>
  <c r="G41" i="31"/>
  <c r="F327" i="2" s="1"/>
  <c r="F333" i="2"/>
  <c r="F329" i="2"/>
  <c r="F334" i="2"/>
  <c r="F330" i="2"/>
  <c r="F332" i="2"/>
  <c r="I41" i="31"/>
  <c r="H327" i="2" s="1"/>
  <c r="H332" i="2"/>
  <c r="H333" i="2"/>
  <c r="H329" i="2"/>
  <c r="H334" i="2"/>
  <c r="H330" i="2"/>
  <c r="I61" i="31"/>
  <c r="H313" i="2"/>
  <c r="H307" i="2"/>
  <c r="H306" i="2"/>
  <c r="E312" i="2"/>
  <c r="E307" i="2"/>
  <c r="E306" i="2"/>
  <c r="E313" i="2"/>
  <c r="I313" i="2"/>
  <c r="I312" i="2"/>
  <c r="I307" i="2"/>
  <c r="I306" i="2"/>
  <c r="G61" i="31"/>
  <c r="F313" i="2"/>
  <c r="F307" i="2"/>
  <c r="F306" i="2"/>
  <c r="H61" i="31"/>
  <c r="G313" i="2"/>
  <c r="G307" i="2"/>
  <c r="G306" i="2"/>
  <c r="H69" i="31"/>
  <c r="P32" i="29"/>
  <c r="O69" i="29"/>
  <c r="N32" i="30"/>
  <c r="J69" i="31"/>
  <c r="N69" i="29"/>
  <c r="M68" i="30"/>
  <c r="P69" i="30"/>
  <c r="O19" i="31"/>
  <c r="R69" i="30"/>
  <c r="G69" i="29"/>
  <c r="K69" i="29"/>
  <c r="O19" i="30"/>
  <c r="O69" i="31"/>
  <c r="H281" i="2"/>
  <c r="M18" i="29"/>
  <c r="I19" i="29"/>
  <c r="O19" i="29"/>
  <c r="L32" i="29"/>
  <c r="H69" i="29"/>
  <c r="P69" i="29"/>
  <c r="H69" i="30"/>
  <c r="L69" i="30"/>
  <c r="M18" i="31"/>
  <c r="M31" i="29"/>
  <c r="O32" i="29"/>
  <c r="I69" i="29"/>
  <c r="M68" i="29"/>
  <c r="R69" i="29"/>
  <c r="P19" i="30"/>
  <c r="P19" i="31"/>
  <c r="G312" i="2"/>
  <c r="F281" i="2"/>
  <c r="M18" i="30"/>
  <c r="G19" i="30"/>
  <c r="M31" i="30"/>
  <c r="P32" i="30"/>
  <c r="G69" i="30"/>
  <c r="J69" i="30"/>
  <c r="O69" i="30"/>
  <c r="M31" i="31"/>
  <c r="P32" i="31"/>
  <c r="I69" i="31"/>
  <c r="M68" i="31"/>
  <c r="R69" i="31"/>
  <c r="H312" i="2"/>
  <c r="R19" i="29"/>
  <c r="K32" i="30"/>
  <c r="R32" i="30"/>
  <c r="J19" i="30"/>
  <c r="K32" i="31"/>
  <c r="G19" i="31"/>
  <c r="J19" i="31"/>
  <c r="H32" i="31"/>
  <c r="L32" i="31"/>
  <c r="F61" i="31"/>
  <c r="J61" i="31"/>
  <c r="N61" i="31"/>
  <c r="K69" i="31"/>
  <c r="H19" i="31"/>
  <c r="L19" i="31"/>
  <c r="R19" i="31"/>
  <c r="K19" i="31"/>
  <c r="I19" i="31"/>
  <c r="N19" i="31"/>
  <c r="O32" i="31"/>
  <c r="N69" i="31"/>
  <c r="K19" i="30"/>
  <c r="L32" i="30"/>
  <c r="F61" i="30"/>
  <c r="H19" i="30"/>
  <c r="L19" i="30"/>
  <c r="R19" i="30"/>
  <c r="J61" i="30"/>
  <c r="K69" i="30"/>
  <c r="I19" i="30"/>
  <c r="N19" i="30"/>
  <c r="O32" i="30"/>
  <c r="N69" i="30"/>
  <c r="N61" i="30"/>
  <c r="J19" i="29"/>
  <c r="K32" i="29"/>
  <c r="G19" i="29"/>
  <c r="K19" i="29"/>
  <c r="P19" i="29"/>
  <c r="I61" i="29"/>
  <c r="R61" i="29"/>
  <c r="H19" i="29"/>
  <c r="L19" i="29"/>
  <c r="N32" i="29"/>
  <c r="L69" i="29"/>
  <c r="J69" i="29"/>
  <c r="N19" i="29"/>
  <c r="G296" i="2" l="1"/>
  <c r="Q327" i="2"/>
  <c r="R51" i="31"/>
  <c r="O327" i="2"/>
  <c r="P51" i="31"/>
  <c r="N327" i="2"/>
  <c r="O51" i="31"/>
  <c r="M327" i="2"/>
  <c r="N51" i="31"/>
  <c r="J327" i="2"/>
  <c r="K51" i="31"/>
  <c r="K327" i="2"/>
  <c r="L51" i="31"/>
  <c r="Q265" i="2"/>
  <c r="R51" i="29"/>
  <c r="N328" i="2"/>
  <c r="N297" i="2"/>
  <c r="K266" i="2"/>
  <c r="J266" i="2"/>
  <c r="O328" i="2"/>
  <c r="N266" i="2"/>
  <c r="M328" i="2"/>
  <c r="J328" i="2"/>
  <c r="O297" i="2"/>
  <c r="M297" i="2"/>
  <c r="K297" i="2"/>
  <c r="M266" i="2"/>
  <c r="L252" i="2"/>
  <c r="L247" i="2"/>
  <c r="L248" i="2"/>
  <c r="M61" i="30"/>
  <c r="L281" i="2"/>
  <c r="L275" i="2"/>
  <c r="L282" i="2"/>
  <c r="L276" i="2"/>
  <c r="G285" i="2"/>
  <c r="H66" i="30"/>
  <c r="G286" i="2" s="1"/>
  <c r="G254" i="2"/>
  <c r="F265" i="2"/>
  <c r="L310" i="2"/>
  <c r="L314" i="2"/>
  <c r="L309" i="2"/>
  <c r="G316" i="2"/>
  <c r="H66" i="31"/>
  <c r="G317" i="2" s="1"/>
  <c r="E265" i="2"/>
  <c r="L283" i="2"/>
  <c r="L278" i="2"/>
  <c r="L279" i="2"/>
  <c r="M61" i="31"/>
  <c r="L312" i="2"/>
  <c r="L306" i="2"/>
  <c r="L313" i="2"/>
  <c r="L307" i="2"/>
  <c r="M61" i="29"/>
  <c r="L251" i="2"/>
  <c r="L245" i="2"/>
  <c r="L250" i="2"/>
  <c r="L244" i="2"/>
  <c r="I266" i="2"/>
  <c r="H266" i="2"/>
  <c r="G265" i="2"/>
  <c r="G252" i="2"/>
  <c r="G248" i="2"/>
  <c r="G247" i="2"/>
  <c r="H66" i="29"/>
  <c r="G255" i="2" s="1"/>
  <c r="I248" i="2"/>
  <c r="I247" i="2"/>
  <c r="I252" i="2"/>
  <c r="H252" i="2"/>
  <c r="H248" i="2"/>
  <c r="H247" i="2"/>
  <c r="E252" i="2"/>
  <c r="E248" i="2"/>
  <c r="E247" i="2"/>
  <c r="G250" i="2"/>
  <c r="I250" i="2"/>
  <c r="I32" i="29"/>
  <c r="F252" i="2"/>
  <c r="F248" i="2"/>
  <c r="F247" i="2"/>
  <c r="E250" i="2"/>
  <c r="I283" i="2"/>
  <c r="I279" i="2"/>
  <c r="I278" i="2"/>
  <c r="G278" i="2"/>
  <c r="G283" i="2"/>
  <c r="G279" i="2"/>
  <c r="G32" i="30"/>
  <c r="F283" i="2"/>
  <c r="F279" i="2"/>
  <c r="F278" i="2"/>
  <c r="J32" i="30"/>
  <c r="H283" i="2"/>
  <c r="H279" i="2"/>
  <c r="H278" i="2"/>
  <c r="G281" i="2"/>
  <c r="E283" i="2"/>
  <c r="E279" i="2"/>
  <c r="E278" i="2"/>
  <c r="H328" i="2"/>
  <c r="F328" i="2"/>
  <c r="I328" i="2"/>
  <c r="G327" i="2"/>
  <c r="G32" i="31"/>
  <c r="F314" i="2"/>
  <c r="F310" i="2"/>
  <c r="F309" i="2"/>
  <c r="R32" i="31"/>
  <c r="I314" i="2"/>
  <c r="I310" i="2"/>
  <c r="I309" i="2"/>
  <c r="F312" i="2"/>
  <c r="E310" i="2"/>
  <c r="E314" i="2"/>
  <c r="E309" i="2"/>
  <c r="J32" i="31"/>
  <c r="H314" i="2"/>
  <c r="H310" i="2"/>
  <c r="H309" i="2"/>
  <c r="G314" i="2"/>
  <c r="G310" i="2"/>
  <c r="G309" i="2"/>
  <c r="G32" i="29"/>
  <c r="I32" i="31"/>
  <c r="I32" i="30"/>
  <c r="H32" i="30"/>
  <c r="J32" i="29"/>
  <c r="H32" i="29"/>
  <c r="R32" i="29"/>
  <c r="M51" i="31" l="1"/>
  <c r="G315" i="2"/>
  <c r="G253" i="2"/>
  <c r="G284" i="2"/>
  <c r="H70" i="29"/>
  <c r="H70" i="30"/>
  <c r="H70" i="31"/>
  <c r="Q120" i="2"/>
  <c r="O120" i="2"/>
  <c r="N120" i="2"/>
  <c r="M120" i="2"/>
  <c r="F120" i="2"/>
  <c r="G120" i="2"/>
  <c r="H120" i="2"/>
  <c r="I120" i="2"/>
  <c r="J120" i="2"/>
  <c r="K120" i="2"/>
  <c r="E120" i="2"/>
  <c r="F101" i="13" l="1"/>
  <c r="E100" i="13"/>
  <c r="E20" i="12"/>
  <c r="D73" i="9" l="1"/>
  <c r="R68" i="20" l="1"/>
  <c r="P68" i="20"/>
  <c r="O68" i="20"/>
  <c r="N68" i="20"/>
  <c r="L68" i="20"/>
  <c r="K68" i="20"/>
  <c r="R64" i="20"/>
  <c r="P64" i="20"/>
  <c r="O64" i="20"/>
  <c r="N64" i="20"/>
  <c r="L64" i="20"/>
  <c r="K64" i="20"/>
  <c r="M30" i="20"/>
  <c r="L78" i="2" s="1"/>
  <c r="M29" i="20"/>
  <c r="L75" i="2" s="1"/>
  <c r="M28" i="20"/>
  <c r="L72" i="2" s="1"/>
  <c r="M27" i="20"/>
  <c r="L69" i="2" s="1"/>
  <c r="M26" i="20"/>
  <c r="L66" i="2" s="1"/>
  <c r="M25" i="20"/>
  <c r="L63" i="2" s="1"/>
  <c r="M24" i="20"/>
  <c r="L60" i="2" s="1"/>
  <c r="M23" i="20"/>
  <c r="L57" i="2" s="1"/>
  <c r="M22" i="20"/>
  <c r="L51" i="2"/>
  <c r="L48" i="2"/>
  <c r="L45" i="2"/>
  <c r="L42" i="2"/>
  <c r="M22" i="4"/>
  <c r="M12" i="4"/>
  <c r="M52" i="20"/>
  <c r="M51" i="20"/>
  <c r="M50" i="20"/>
  <c r="M47" i="20"/>
  <c r="M52" i="4"/>
  <c r="M51" i="4"/>
  <c r="M50" i="4"/>
  <c r="M47" i="4"/>
  <c r="R39" i="20"/>
  <c r="P39" i="20"/>
  <c r="O39" i="20"/>
  <c r="N39" i="20"/>
  <c r="L39" i="20"/>
  <c r="K39" i="20"/>
  <c r="R31" i="20"/>
  <c r="R60" i="20" s="1"/>
  <c r="Q84" i="2" s="1"/>
  <c r="P31" i="20"/>
  <c r="P60" i="20" s="1"/>
  <c r="O84" i="2" s="1"/>
  <c r="O31" i="20"/>
  <c r="O60" i="20" s="1"/>
  <c r="N84" i="2" s="1"/>
  <c r="N31" i="20"/>
  <c r="N60" i="20" s="1"/>
  <c r="M84" i="2" s="1"/>
  <c r="L31" i="20"/>
  <c r="L60" i="20" s="1"/>
  <c r="K84" i="2" s="1"/>
  <c r="K31" i="20"/>
  <c r="R18" i="20"/>
  <c r="P18" i="20"/>
  <c r="O18" i="20"/>
  <c r="N18" i="20"/>
  <c r="L18" i="20"/>
  <c r="K18" i="20"/>
  <c r="J31" i="20"/>
  <c r="I31" i="20"/>
  <c r="G31" i="20"/>
  <c r="F31" i="20"/>
  <c r="J18" i="20"/>
  <c r="I18" i="20"/>
  <c r="H18" i="20"/>
  <c r="G18" i="20"/>
  <c r="F18" i="20"/>
  <c r="J68" i="20"/>
  <c r="I68" i="20"/>
  <c r="H68" i="20"/>
  <c r="G68" i="20"/>
  <c r="F68" i="20"/>
  <c r="H65" i="20"/>
  <c r="J64" i="20"/>
  <c r="I64" i="20"/>
  <c r="H64" i="20"/>
  <c r="G64" i="20"/>
  <c r="F64" i="20"/>
  <c r="J39" i="20"/>
  <c r="I39" i="20"/>
  <c r="H39" i="20"/>
  <c r="G39" i="20"/>
  <c r="F39" i="20"/>
  <c r="K60" i="20" l="1"/>
  <c r="J84" i="2" s="1"/>
  <c r="M60" i="20"/>
  <c r="L84" i="2" s="1"/>
  <c r="K221" i="2"/>
  <c r="K216" i="2"/>
  <c r="K217" i="2"/>
  <c r="O229" i="2"/>
  <c r="O228" i="2"/>
  <c r="K61" i="20"/>
  <c r="J36" i="2" s="1"/>
  <c r="J219" i="2"/>
  <c r="J213" i="2"/>
  <c r="J220" i="2"/>
  <c r="J214" i="2"/>
  <c r="P61" i="20"/>
  <c r="O36" i="2" s="1"/>
  <c r="O219" i="2"/>
  <c r="O213" i="2"/>
  <c r="O220" i="2"/>
  <c r="O214" i="2"/>
  <c r="M221" i="2"/>
  <c r="M216" i="2"/>
  <c r="M217" i="2"/>
  <c r="N234" i="2"/>
  <c r="N239" i="2"/>
  <c r="N240" i="2"/>
  <c r="N237" i="2"/>
  <c r="N241" i="2"/>
  <c r="N236" i="2"/>
  <c r="L39" i="2"/>
  <c r="L215" i="2"/>
  <c r="K229" i="2"/>
  <c r="K228" i="2"/>
  <c r="M240" i="2"/>
  <c r="M241" i="2"/>
  <c r="M236" i="2"/>
  <c r="M234" i="2"/>
  <c r="M239" i="2"/>
  <c r="M237" i="2"/>
  <c r="M235" i="2"/>
  <c r="G232" i="2"/>
  <c r="G231" i="2"/>
  <c r="L61" i="20"/>
  <c r="K36" i="2" s="1"/>
  <c r="K219" i="2"/>
  <c r="K213" i="2"/>
  <c r="K220" i="2"/>
  <c r="K214" i="2"/>
  <c r="R61" i="20"/>
  <c r="Q36" i="2" s="1"/>
  <c r="Q220" i="2"/>
  <c r="Q214" i="2"/>
  <c r="Q219" i="2"/>
  <c r="Q213" i="2"/>
  <c r="N217" i="2"/>
  <c r="N221" i="2"/>
  <c r="N216" i="2"/>
  <c r="J235" i="2"/>
  <c r="J241" i="2"/>
  <c r="J237" i="2"/>
  <c r="J239" i="2"/>
  <c r="J240" i="2"/>
  <c r="J236" i="2"/>
  <c r="O235" i="2"/>
  <c r="O241" i="2"/>
  <c r="O237" i="2"/>
  <c r="O239" i="2"/>
  <c r="O240" i="2"/>
  <c r="O236" i="2"/>
  <c r="M228" i="2"/>
  <c r="M229" i="2"/>
  <c r="M68" i="20"/>
  <c r="O61" i="20"/>
  <c r="N36" i="2" s="1"/>
  <c r="N219" i="2"/>
  <c r="N213" i="2"/>
  <c r="N220" i="2"/>
  <c r="N214" i="2"/>
  <c r="Q221" i="2"/>
  <c r="Q216" i="2"/>
  <c r="Q217" i="2"/>
  <c r="N61" i="20"/>
  <c r="M36" i="2" s="1"/>
  <c r="M219" i="2"/>
  <c r="M213" i="2"/>
  <c r="M220" i="2"/>
  <c r="M214" i="2"/>
  <c r="J217" i="2"/>
  <c r="J216" i="2"/>
  <c r="J221" i="2"/>
  <c r="O217" i="2"/>
  <c r="O221" i="2"/>
  <c r="O216" i="2"/>
  <c r="K235" i="2"/>
  <c r="K241" i="2"/>
  <c r="K240" i="2"/>
  <c r="K236" i="2"/>
  <c r="K237" i="2"/>
  <c r="K239" i="2"/>
  <c r="Q234" i="2"/>
  <c r="Q241" i="2"/>
  <c r="Q240" i="2"/>
  <c r="Q236" i="2"/>
  <c r="Q237" i="2"/>
  <c r="Q239" i="2"/>
  <c r="L54" i="2"/>
  <c r="L218" i="2"/>
  <c r="N229" i="2"/>
  <c r="N228" i="2"/>
  <c r="J229" i="2"/>
  <c r="J228" i="2"/>
  <c r="Q228" i="2"/>
  <c r="Q229" i="2"/>
  <c r="I228" i="2"/>
  <c r="I229" i="2"/>
  <c r="E229" i="2"/>
  <c r="E228" i="2"/>
  <c r="F229" i="2"/>
  <c r="F228" i="2"/>
  <c r="G229" i="2"/>
  <c r="G228" i="2"/>
  <c r="H228" i="2"/>
  <c r="H229" i="2"/>
  <c r="F239" i="2"/>
  <c r="F240" i="2"/>
  <c r="F236" i="2"/>
  <c r="F241" i="2"/>
  <c r="F237" i="2"/>
  <c r="G240" i="2"/>
  <c r="G236" i="2"/>
  <c r="G241" i="2"/>
  <c r="G237" i="2"/>
  <c r="G239" i="2"/>
  <c r="H241" i="2"/>
  <c r="H237" i="2"/>
  <c r="H240" i="2"/>
  <c r="H236" i="2"/>
  <c r="H239" i="2"/>
  <c r="E239" i="2"/>
  <c r="E237" i="2"/>
  <c r="E240" i="2"/>
  <c r="E236" i="2"/>
  <c r="E241" i="2"/>
  <c r="I237" i="2"/>
  <c r="I239" i="2"/>
  <c r="I241" i="2"/>
  <c r="I240" i="2"/>
  <c r="I236" i="2"/>
  <c r="E217" i="2"/>
  <c r="E221" i="2"/>
  <c r="E216" i="2"/>
  <c r="F221" i="2"/>
  <c r="F217" i="2"/>
  <c r="F216" i="2"/>
  <c r="H32" i="20"/>
  <c r="G221" i="2"/>
  <c r="G217" i="2"/>
  <c r="G216" i="2"/>
  <c r="R32" i="20"/>
  <c r="I217" i="2"/>
  <c r="I216" i="2"/>
  <c r="I221" i="2"/>
  <c r="H217" i="2"/>
  <c r="H216" i="2"/>
  <c r="H221" i="2"/>
  <c r="H61" i="20"/>
  <c r="G220" i="2"/>
  <c r="G219" i="2"/>
  <c r="G214" i="2"/>
  <c r="G213" i="2"/>
  <c r="I61" i="20"/>
  <c r="H220" i="2"/>
  <c r="H219" i="2"/>
  <c r="H214" i="2"/>
  <c r="H213" i="2"/>
  <c r="F61" i="20"/>
  <c r="E220" i="2"/>
  <c r="E219" i="2"/>
  <c r="E214" i="2"/>
  <c r="E213" i="2"/>
  <c r="J61" i="20"/>
  <c r="I220" i="2"/>
  <c r="I219" i="2"/>
  <c r="I214" i="2"/>
  <c r="I213" i="2"/>
  <c r="G61" i="20"/>
  <c r="F220" i="2"/>
  <c r="F219" i="2"/>
  <c r="F214" i="2"/>
  <c r="F213" i="2"/>
  <c r="J69" i="20"/>
  <c r="M18" i="20"/>
  <c r="I32" i="20"/>
  <c r="G69" i="20"/>
  <c r="H69" i="20"/>
  <c r="M31" i="20"/>
  <c r="I69" i="20"/>
  <c r="G32" i="20"/>
  <c r="J32" i="20"/>
  <c r="J234" i="2" l="1"/>
  <c r="K234" i="2"/>
  <c r="N235" i="2"/>
  <c r="Q235" i="2"/>
  <c r="O234" i="2"/>
  <c r="L220" i="2"/>
  <c r="L214" i="2"/>
  <c r="L213" i="2"/>
  <c r="L219" i="2"/>
  <c r="H36" i="2"/>
  <c r="M61" i="20"/>
  <c r="L36" i="2" s="1"/>
  <c r="E36" i="2"/>
  <c r="F36" i="2"/>
  <c r="G223" i="2"/>
  <c r="G36" i="2"/>
  <c r="L221" i="2"/>
  <c r="L216" i="2"/>
  <c r="L217" i="2"/>
  <c r="I36" i="2"/>
  <c r="H66" i="20"/>
  <c r="G224" i="2" s="1"/>
  <c r="H70" i="20" l="1"/>
  <c r="G222" i="2"/>
  <c r="F90" i="14"/>
  <c r="E89" i="14"/>
  <c r="F90" i="12" l="1"/>
  <c r="E89" i="12"/>
  <c r="A3" i="20" l="1"/>
  <c r="A3" i="6"/>
  <c r="A3" i="5"/>
  <c r="A3" i="4"/>
  <c r="A3" i="3"/>
  <c r="A3" i="24" s="1"/>
  <c r="L38" i="21" l="1"/>
  <c r="K38" i="21"/>
  <c r="J38" i="21"/>
  <c r="I38" i="21"/>
  <c r="H38" i="21"/>
  <c r="G38" i="21"/>
  <c r="F38" i="21"/>
  <c r="E38" i="21"/>
  <c r="D38" i="21"/>
  <c r="C38" i="21"/>
  <c r="R423" i="2" l="1"/>
  <c r="S423" i="2"/>
  <c r="T423" i="2"/>
  <c r="R424" i="2"/>
  <c r="S424" i="2"/>
  <c r="T424" i="2"/>
  <c r="Q424" i="2"/>
  <c r="Q423" i="2"/>
  <c r="R421" i="2"/>
  <c r="S421" i="2"/>
  <c r="T421" i="2"/>
  <c r="R422" i="2"/>
  <c r="S422" i="2"/>
  <c r="T422" i="2"/>
  <c r="Q422" i="2"/>
  <c r="Q421" i="2"/>
  <c r="R419" i="2"/>
  <c r="S419" i="2"/>
  <c r="T419" i="2"/>
  <c r="R420" i="2"/>
  <c r="S420" i="2"/>
  <c r="T420" i="2"/>
  <c r="Q420" i="2"/>
  <c r="Q419" i="2"/>
  <c r="R417" i="2"/>
  <c r="S417" i="2"/>
  <c r="T417" i="2"/>
  <c r="R418" i="2"/>
  <c r="S418" i="2"/>
  <c r="T418" i="2"/>
  <c r="Q418" i="2"/>
  <c r="Q417" i="2"/>
  <c r="Q510" i="2" l="1"/>
  <c r="Q725" i="2" l="1"/>
  <c r="Q719" i="2"/>
  <c r="Q717" i="2"/>
  <c r="Q716" i="2"/>
  <c r="Q715" i="2"/>
  <c r="Q711" i="2"/>
  <c r="Q710" i="2"/>
  <c r="Q709" i="2"/>
  <c r="Q707" i="2"/>
  <c r="Q705" i="2"/>
  <c r="Q704" i="2"/>
  <c r="Q703" i="2"/>
  <c r="Q694" i="2"/>
  <c r="Q688" i="2"/>
  <c r="Q686" i="2"/>
  <c r="Q685" i="2"/>
  <c r="Q684" i="2"/>
  <c r="Q680" i="2"/>
  <c r="Q679" i="2"/>
  <c r="Q678" i="2"/>
  <c r="Q676" i="2"/>
  <c r="Q673" i="2"/>
  <c r="Q663" i="2"/>
  <c r="Q657" i="2"/>
  <c r="Q655" i="2"/>
  <c r="Q654" i="2"/>
  <c r="Q653" i="2"/>
  <c r="Q648" i="2"/>
  <c r="Q645" i="2"/>
  <c r="Q642" i="2"/>
  <c r="Q622" i="2"/>
  <c r="Q620" i="2"/>
  <c r="Q619" i="2"/>
  <c r="Q618" i="2"/>
  <c r="Q613" i="2"/>
  <c r="Q610" i="2"/>
  <c r="Q607" i="2"/>
  <c r="Q569" i="2" l="1"/>
  <c r="Q563" i="2"/>
  <c r="Q548" i="2"/>
  <c r="Q547" i="2"/>
  <c r="Q522" i="2"/>
  <c r="Q504" i="2"/>
  <c r="Q488" i="2"/>
  <c r="Q489" i="2"/>
  <c r="Q205" i="2"/>
  <c r="Q204" i="2"/>
  <c r="Q203" i="2"/>
  <c r="N203" i="2"/>
  <c r="O203" i="2"/>
  <c r="N204" i="2"/>
  <c r="O204" i="2"/>
  <c r="N205" i="2"/>
  <c r="O205" i="2"/>
  <c r="M205" i="2"/>
  <c r="M204" i="2"/>
  <c r="M203" i="2"/>
  <c r="F203" i="2"/>
  <c r="G203" i="2"/>
  <c r="H203" i="2"/>
  <c r="I203" i="2"/>
  <c r="J203" i="2"/>
  <c r="K203" i="2"/>
  <c r="F204" i="2"/>
  <c r="G204" i="2"/>
  <c r="H204" i="2"/>
  <c r="I204" i="2"/>
  <c r="J204" i="2"/>
  <c r="K204" i="2"/>
  <c r="F205" i="2"/>
  <c r="G205" i="2"/>
  <c r="H205" i="2"/>
  <c r="I205" i="2"/>
  <c r="J205" i="2"/>
  <c r="K205" i="2"/>
  <c r="E205" i="2"/>
  <c r="E204" i="2"/>
  <c r="E203" i="2"/>
  <c r="E184" i="2" l="1"/>
  <c r="E174" i="2"/>
  <c r="E170" i="2"/>
  <c r="Q168" i="2"/>
  <c r="Q167" i="2"/>
  <c r="Q166" i="2"/>
  <c r="N166" i="2"/>
  <c r="O166" i="2"/>
  <c r="N167" i="2"/>
  <c r="O167" i="2"/>
  <c r="N168" i="2"/>
  <c r="O168" i="2"/>
  <c r="M168" i="2"/>
  <c r="M167" i="2"/>
  <c r="M166" i="2"/>
  <c r="K166" i="2"/>
  <c r="K167" i="2"/>
  <c r="K168" i="2"/>
  <c r="J166" i="2"/>
  <c r="J167" i="2"/>
  <c r="J168" i="2"/>
  <c r="F168" i="2"/>
  <c r="G168" i="2"/>
  <c r="H168" i="2"/>
  <c r="I168" i="2"/>
  <c r="E168" i="2"/>
  <c r="E136" i="2"/>
  <c r="E122" i="2"/>
  <c r="M47" i="6" l="1"/>
  <c r="K95" i="2"/>
  <c r="K96" i="2"/>
  <c r="J95" i="2"/>
  <c r="J96" i="2"/>
  <c r="E88" i="2" l="1"/>
  <c r="G65" i="3"/>
  <c r="F295" i="2" l="1"/>
  <c r="F233" i="2"/>
  <c r="F264" i="2"/>
  <c r="F326" i="2"/>
  <c r="G65" i="31"/>
  <c r="G65" i="29"/>
  <c r="G65" i="30"/>
  <c r="G65" i="20"/>
  <c r="F65" i="3"/>
  <c r="E26" i="2"/>
  <c r="F223" i="2" l="1"/>
  <c r="F285" i="2"/>
  <c r="F254" i="2"/>
  <c r="F316" i="2"/>
  <c r="F262" i="2"/>
  <c r="F263" i="2"/>
  <c r="G66" i="29"/>
  <c r="F255" i="2" s="1"/>
  <c r="E326" i="2"/>
  <c r="E264" i="2"/>
  <c r="E233" i="2"/>
  <c r="E295" i="2"/>
  <c r="G66" i="31"/>
  <c r="F317" i="2" s="1"/>
  <c r="F324" i="2"/>
  <c r="F325" i="2"/>
  <c r="F232" i="2"/>
  <c r="F231" i="2"/>
  <c r="G66" i="20"/>
  <c r="F224" i="2" s="1"/>
  <c r="G66" i="30"/>
  <c r="F286" i="2" s="1"/>
  <c r="F293" i="2"/>
  <c r="F294" i="2"/>
  <c r="F65" i="30"/>
  <c r="F65" i="31"/>
  <c r="F65" i="29"/>
  <c r="F65" i="20"/>
  <c r="H67" i="30"/>
  <c r="G70" i="30"/>
  <c r="E27" i="2"/>
  <c r="E25" i="2"/>
  <c r="E30" i="19"/>
  <c r="D157" i="14"/>
  <c r="J157" i="14" s="1"/>
  <c r="D156" i="14"/>
  <c r="J156" i="14" s="1"/>
  <c r="D155" i="14"/>
  <c r="D154" i="14"/>
  <c r="D152" i="14"/>
  <c r="G152" i="14"/>
  <c r="G158" i="14" s="1"/>
  <c r="J151" i="14"/>
  <c r="J150" i="14"/>
  <c r="J149" i="14"/>
  <c r="I152" i="14"/>
  <c r="I158" i="14" s="1"/>
  <c r="H152" i="14"/>
  <c r="H158" i="14" s="1"/>
  <c r="F152" i="14"/>
  <c r="F158" i="14" s="1"/>
  <c r="E152" i="14"/>
  <c r="E158" i="14" s="1"/>
  <c r="D155" i="13"/>
  <c r="D157" i="13"/>
  <c r="J157" i="13" s="1"/>
  <c r="D156" i="13"/>
  <c r="J156" i="13" s="1"/>
  <c r="D154" i="13"/>
  <c r="J151" i="13"/>
  <c r="J150" i="13"/>
  <c r="J149" i="13"/>
  <c r="J140" i="13"/>
  <c r="H152" i="13"/>
  <c r="H158" i="13" s="1"/>
  <c r="E152" i="13"/>
  <c r="E158" i="13" s="1"/>
  <c r="I152" i="13"/>
  <c r="I158" i="13" s="1"/>
  <c r="G152" i="13"/>
  <c r="G158" i="13" s="1"/>
  <c r="F152" i="13"/>
  <c r="F158" i="13" s="1"/>
  <c r="D152" i="13"/>
  <c r="D141" i="13"/>
  <c r="D152" i="12"/>
  <c r="D141" i="12"/>
  <c r="D157" i="12"/>
  <c r="J157" i="12" s="1"/>
  <c r="D156" i="12"/>
  <c r="J156" i="12" s="1"/>
  <c r="D155" i="12"/>
  <c r="D154" i="12"/>
  <c r="I152" i="12"/>
  <c r="I158" i="12" s="1"/>
  <c r="H152" i="12"/>
  <c r="H158" i="12" s="1"/>
  <c r="G152" i="12"/>
  <c r="G158" i="12" s="1"/>
  <c r="F152" i="12"/>
  <c r="F158" i="12" s="1"/>
  <c r="E152" i="12"/>
  <c r="E158" i="12" s="1"/>
  <c r="F141" i="12"/>
  <c r="E141" i="12"/>
  <c r="J151" i="12"/>
  <c r="J150" i="12"/>
  <c r="J149" i="12"/>
  <c r="J140" i="12"/>
  <c r="J139" i="12"/>
  <c r="J138" i="12"/>
  <c r="J140" i="14"/>
  <c r="J139" i="14"/>
  <c r="J138" i="14"/>
  <c r="F284" i="2" l="1"/>
  <c r="E223" i="2"/>
  <c r="E254" i="2"/>
  <c r="E253" i="2"/>
  <c r="H67" i="29"/>
  <c r="G70" i="31"/>
  <c r="E316" i="2"/>
  <c r="E315" i="2"/>
  <c r="F315" i="2"/>
  <c r="G70" i="29"/>
  <c r="H67" i="31"/>
  <c r="E285" i="2"/>
  <c r="F253" i="2"/>
  <c r="F222" i="2"/>
  <c r="D158" i="13"/>
  <c r="E262" i="2"/>
  <c r="E263" i="2"/>
  <c r="F66" i="29"/>
  <c r="F66" i="30"/>
  <c r="G67" i="30" s="1"/>
  <c r="E293" i="2"/>
  <c r="E294" i="2"/>
  <c r="F66" i="31"/>
  <c r="G67" i="31" s="1"/>
  <c r="E324" i="2"/>
  <c r="E325" i="2"/>
  <c r="E231" i="2"/>
  <c r="E232" i="2"/>
  <c r="F66" i="20"/>
  <c r="E224" i="2" s="1"/>
  <c r="H71" i="31"/>
  <c r="H67" i="20"/>
  <c r="G70" i="20"/>
  <c r="H71" i="30"/>
  <c r="H71" i="29"/>
  <c r="J152" i="13"/>
  <c r="J158" i="13" s="1"/>
  <c r="D158" i="14"/>
  <c r="D158" i="12"/>
  <c r="Q581" i="2"/>
  <c r="J152" i="14"/>
  <c r="J158" i="14" s="1"/>
  <c r="J152" i="12"/>
  <c r="J158" i="12" s="1"/>
  <c r="Q457" i="2"/>
  <c r="J141" i="12"/>
  <c r="E165" i="12"/>
  <c r="D130" i="12"/>
  <c r="D49" i="11"/>
  <c r="I91" i="12"/>
  <c r="E102" i="12"/>
  <c r="F72" i="8"/>
  <c r="E72" i="8"/>
  <c r="D72" i="8"/>
  <c r="C72" i="8"/>
  <c r="C73" i="9"/>
  <c r="E317" i="2" l="1"/>
  <c r="E286" i="2"/>
  <c r="E284" i="2"/>
  <c r="F70" i="30"/>
  <c r="G71" i="30" s="1"/>
  <c r="E222" i="2"/>
  <c r="F70" i="31"/>
  <c r="G71" i="31" s="1"/>
  <c r="E255" i="2"/>
  <c r="G67" i="29"/>
  <c r="F70" i="29"/>
  <c r="G71" i="29" s="1"/>
  <c r="H71" i="20"/>
  <c r="F70" i="20"/>
  <c r="G71" i="20" s="1"/>
  <c r="G67" i="20"/>
  <c r="Q693" i="2"/>
  <c r="Q695" i="2"/>
  <c r="Q724" i="2"/>
  <c r="Q726" i="2"/>
  <c r="Q662" i="2"/>
  <c r="Q664" i="2"/>
  <c r="Q628" i="2"/>
  <c r="Q666" i="2"/>
  <c r="Q428" i="2"/>
  <c r="E147" i="12"/>
  <c r="N69" i="20" l="1"/>
  <c r="O69" i="20"/>
  <c r="N32" i="20"/>
  <c r="L32" i="20"/>
  <c r="P19" i="20"/>
  <c r="N19" i="20"/>
  <c r="L19" i="20"/>
  <c r="P69" i="20"/>
  <c r="L69" i="20"/>
  <c r="K69" i="20"/>
  <c r="P32" i="20"/>
  <c r="G65" i="5"/>
  <c r="R69" i="20" l="1"/>
  <c r="E146" i="2"/>
  <c r="O32" i="20"/>
  <c r="O19" i="20"/>
  <c r="F65" i="5"/>
  <c r="G65" i="4"/>
  <c r="M13" i="6"/>
  <c r="T664" i="2"/>
  <c r="S664" i="2"/>
  <c r="R664" i="2"/>
  <c r="T662" i="2"/>
  <c r="S662" i="2"/>
  <c r="R662" i="2"/>
  <c r="T695" i="2"/>
  <c r="S695" i="2"/>
  <c r="R695" i="2"/>
  <c r="T693" i="2"/>
  <c r="S693" i="2"/>
  <c r="R693" i="2"/>
  <c r="T686" i="2"/>
  <c r="S686" i="2"/>
  <c r="R686" i="2"/>
  <c r="T684" i="2"/>
  <c r="S684" i="2"/>
  <c r="R684" i="2"/>
  <c r="T680" i="2"/>
  <c r="S680" i="2"/>
  <c r="R680" i="2"/>
  <c r="T678" i="2"/>
  <c r="S678" i="2"/>
  <c r="R678" i="2"/>
  <c r="T726" i="2"/>
  <c r="S726" i="2"/>
  <c r="R726" i="2"/>
  <c r="T724" i="2"/>
  <c r="S724" i="2"/>
  <c r="R724" i="2"/>
  <c r="T717" i="2"/>
  <c r="S717" i="2"/>
  <c r="R717" i="2"/>
  <c r="T715" i="2"/>
  <c r="S715" i="2"/>
  <c r="R715" i="2"/>
  <c r="T711" i="2"/>
  <c r="S711" i="2"/>
  <c r="R711" i="2"/>
  <c r="T709" i="2"/>
  <c r="S709" i="2"/>
  <c r="R709" i="2"/>
  <c r="T705" i="2"/>
  <c r="S705" i="2"/>
  <c r="R705" i="2"/>
  <c r="T703" i="2"/>
  <c r="S703" i="2"/>
  <c r="R703" i="2"/>
  <c r="E98" i="2" l="1"/>
  <c r="E147" i="2"/>
  <c r="E145" i="2"/>
  <c r="F65" i="4"/>
  <c r="E99" i="2" l="1"/>
  <c r="E97" i="2"/>
  <c r="F73" i="17"/>
  <c r="E73" i="17"/>
  <c r="F73" i="10"/>
  <c r="F78" i="10" s="1"/>
  <c r="E73" i="10"/>
  <c r="E78" i="10" s="1"/>
  <c r="F73" i="9"/>
  <c r="F78" i="9" s="1"/>
  <c r="E73" i="9"/>
  <c r="E78" i="9" s="1"/>
  <c r="F71" i="8"/>
  <c r="E71" i="8"/>
  <c r="F70" i="8"/>
  <c r="E70" i="8"/>
  <c r="F69" i="8"/>
  <c r="E69" i="8"/>
  <c r="F76" i="8"/>
  <c r="E76" i="8"/>
  <c r="C26" i="19"/>
  <c r="C8" i="19"/>
  <c r="S670" i="2" l="1"/>
  <c r="T670" i="2"/>
  <c r="S639" i="2"/>
  <c r="T639" i="2"/>
  <c r="E78" i="17"/>
  <c r="E78" i="8" s="1"/>
  <c r="F78" i="17"/>
  <c r="F78" i="8" s="1"/>
  <c r="F73" i="8"/>
  <c r="E73" i="8"/>
  <c r="D73" i="17"/>
  <c r="C73" i="17"/>
  <c r="D73" i="10"/>
  <c r="C73" i="10"/>
  <c r="D76" i="8"/>
  <c r="C76" i="8"/>
  <c r="D71" i="8"/>
  <c r="C71" i="8"/>
  <c r="D70" i="8"/>
  <c r="C70" i="8"/>
  <c r="D69" i="8"/>
  <c r="C69" i="8"/>
  <c r="Q697" i="2" l="1"/>
  <c r="Q493" i="2"/>
  <c r="T604" i="2"/>
  <c r="T701" i="2"/>
  <c r="S604" i="2"/>
  <c r="S701" i="2"/>
  <c r="Q728" i="2"/>
  <c r="Q552" i="2"/>
  <c r="D78" i="10"/>
  <c r="D78" i="9"/>
  <c r="D78" i="17"/>
  <c r="D73" i="8"/>
  <c r="R69" i="3"/>
  <c r="Q430" i="2"/>
  <c r="S354" i="2"/>
  <c r="T354" i="2"/>
  <c r="S355" i="2"/>
  <c r="T355" i="2"/>
  <c r="R356" i="2"/>
  <c r="S356" i="2"/>
  <c r="T356" i="2"/>
  <c r="Q356" i="2"/>
  <c r="R428" i="2"/>
  <c r="S428" i="2"/>
  <c r="T428" i="2"/>
  <c r="R429" i="2"/>
  <c r="S429" i="2"/>
  <c r="T429" i="2"/>
  <c r="R430" i="2"/>
  <c r="S430" i="2"/>
  <c r="T430" i="2"/>
  <c r="S493" i="2"/>
  <c r="T493" i="2"/>
  <c r="S494" i="2"/>
  <c r="T494" i="2"/>
  <c r="S495" i="2"/>
  <c r="T495" i="2"/>
  <c r="Q494" i="2"/>
  <c r="Q495" i="2"/>
  <c r="R495" i="2"/>
  <c r="R494" i="2"/>
  <c r="R493" i="2"/>
  <c r="R552" i="2"/>
  <c r="S552" i="2"/>
  <c r="T552" i="2"/>
  <c r="R553" i="2"/>
  <c r="S553" i="2"/>
  <c r="T553" i="2"/>
  <c r="R554" i="2"/>
  <c r="S554" i="2"/>
  <c r="T554" i="2"/>
  <c r="Q554" i="2"/>
  <c r="Q553" i="2"/>
  <c r="S473" i="2"/>
  <c r="T473" i="2"/>
  <c r="S474" i="2"/>
  <c r="T474" i="2"/>
  <c r="S538" i="2"/>
  <c r="T538" i="2"/>
  <c r="S539" i="2"/>
  <c r="T539" i="2"/>
  <c r="S597" i="2"/>
  <c r="T597" i="2"/>
  <c r="S598" i="2"/>
  <c r="T598" i="2"/>
  <c r="E94" i="8"/>
  <c r="S399" i="2" s="1"/>
  <c r="F94" i="8"/>
  <c r="T399" i="2" s="1"/>
  <c r="R547" i="2"/>
  <c r="S547" i="2"/>
  <c r="T547" i="2"/>
  <c r="R548" i="2"/>
  <c r="S548" i="2"/>
  <c r="T548" i="2"/>
  <c r="R488" i="2"/>
  <c r="S488" i="2"/>
  <c r="T488" i="2"/>
  <c r="R489" i="2"/>
  <c r="S489" i="2"/>
  <c r="T489" i="2"/>
  <c r="R18" i="6"/>
  <c r="R60" i="6" s="1"/>
  <c r="T400" i="2" l="1"/>
  <c r="R639" i="2"/>
  <c r="R670" i="2"/>
  <c r="R701" i="2"/>
  <c r="D78" i="8"/>
  <c r="R354" i="2"/>
  <c r="R355" i="2"/>
  <c r="S400" i="2"/>
  <c r="R604" i="2" l="1"/>
  <c r="Q136" i="2"/>
  <c r="Q139" i="2"/>
  <c r="Q143" i="2"/>
  <c r="Q144" i="2"/>
  <c r="Q153" i="2"/>
  <c r="Q159" i="2"/>
  <c r="Q163" i="2"/>
  <c r="Q164" i="2"/>
  <c r="Q165" i="2"/>
  <c r="Q170" i="2"/>
  <c r="Q174" i="2"/>
  <c r="Q175" i="2"/>
  <c r="Q176" i="2"/>
  <c r="Q177" i="2"/>
  <c r="Q178" i="2"/>
  <c r="Q179" i="2"/>
  <c r="Q180" i="2"/>
  <c r="Q182" i="2"/>
  <c r="Q183" i="2"/>
  <c r="Q184" i="2"/>
  <c r="Q187" i="2"/>
  <c r="Q189" i="2"/>
  <c r="Q196" i="2"/>
  <c r="Q200" i="2"/>
  <c r="Q201" i="2"/>
  <c r="Q202" i="2"/>
  <c r="Q207" i="2"/>
  <c r="Q211" i="2"/>
  <c r="Q88" i="2"/>
  <c r="Q91" i="2"/>
  <c r="Q95" i="2"/>
  <c r="Q96" i="2"/>
  <c r="Q105" i="2"/>
  <c r="Q111" i="2"/>
  <c r="Q122" i="2"/>
  <c r="Q126" i="2"/>
  <c r="Q127" i="2"/>
  <c r="Q128" i="2"/>
  <c r="Q129" i="2"/>
  <c r="Q24" i="2"/>
  <c r="Q23" i="2"/>
  <c r="M26" i="6" l="1"/>
  <c r="I164" i="11" l="1"/>
  <c r="H163" i="11"/>
  <c r="G162" i="11"/>
  <c r="R68" i="6" l="1"/>
  <c r="R39" i="6"/>
  <c r="R31" i="6"/>
  <c r="R68" i="5"/>
  <c r="R64" i="5"/>
  <c r="R39" i="5"/>
  <c r="R31" i="5"/>
  <c r="R60" i="5" s="1"/>
  <c r="R18" i="5"/>
  <c r="R52" i="3"/>
  <c r="R50" i="3"/>
  <c r="R47" i="3"/>
  <c r="R38" i="3"/>
  <c r="R37" i="3"/>
  <c r="R36" i="3"/>
  <c r="R30" i="3"/>
  <c r="R29" i="3"/>
  <c r="R28" i="3"/>
  <c r="R27" i="3"/>
  <c r="R26" i="3"/>
  <c r="R25" i="3"/>
  <c r="R24" i="3"/>
  <c r="R23" i="3"/>
  <c r="R22" i="3"/>
  <c r="R17" i="3"/>
  <c r="R16" i="3"/>
  <c r="R15" i="3"/>
  <c r="R14" i="3"/>
  <c r="R13" i="3"/>
  <c r="R12" i="3"/>
  <c r="R68" i="4"/>
  <c r="R64" i="4"/>
  <c r="R39" i="4"/>
  <c r="R31" i="4"/>
  <c r="R60" i="4" s="1"/>
  <c r="R60" i="3" s="1"/>
  <c r="R18" i="4"/>
  <c r="D143" i="14"/>
  <c r="D132" i="14"/>
  <c r="D121" i="14"/>
  <c r="D110" i="14"/>
  <c r="D93" i="14"/>
  <c r="D38" i="14"/>
  <c r="D143" i="13"/>
  <c r="D132" i="13"/>
  <c r="D121" i="13"/>
  <c r="D110" i="13"/>
  <c r="D93" i="13"/>
  <c r="D66" i="13"/>
  <c r="D59" i="13"/>
  <c r="D52" i="13"/>
  <c r="D31" i="13"/>
  <c r="D13" i="13"/>
  <c r="D132" i="12"/>
  <c r="D121" i="12"/>
  <c r="D110" i="12"/>
  <c r="D93" i="12"/>
  <c r="D66" i="12"/>
  <c r="H66" i="12" s="1"/>
  <c r="D59" i="12"/>
  <c r="H59" i="12" s="1"/>
  <c r="D52" i="12"/>
  <c r="H52" i="12" s="1"/>
  <c r="D31" i="12"/>
  <c r="D24" i="12"/>
  <c r="D13" i="12"/>
  <c r="C89" i="10"/>
  <c r="C85" i="10"/>
  <c r="C83" i="10"/>
  <c r="C89" i="17"/>
  <c r="C85" i="17"/>
  <c r="C83" i="17"/>
  <c r="C89" i="9"/>
  <c r="M68" i="3"/>
  <c r="M30" i="6"/>
  <c r="M29" i="6"/>
  <c r="M31" i="6" s="1"/>
  <c r="M17" i="6"/>
  <c r="M16" i="6"/>
  <c r="M15" i="6"/>
  <c r="M14" i="6"/>
  <c r="M12" i="6"/>
  <c r="M52" i="5"/>
  <c r="M51" i="5"/>
  <c r="M50" i="5"/>
  <c r="M47" i="5"/>
  <c r="M28" i="5"/>
  <c r="M17" i="5"/>
  <c r="M16" i="5"/>
  <c r="M15" i="5"/>
  <c r="M14" i="5"/>
  <c r="M13" i="5"/>
  <c r="L144" i="2" s="1"/>
  <c r="M12" i="5"/>
  <c r="M28" i="4"/>
  <c r="M27" i="4"/>
  <c r="M27" i="3" s="1"/>
  <c r="M26" i="4"/>
  <c r="M26" i="3" s="1"/>
  <c r="M25" i="4"/>
  <c r="M25" i="3" s="1"/>
  <c r="M24" i="4"/>
  <c r="M24" i="3" s="1"/>
  <c r="M23" i="4"/>
  <c r="M17" i="4"/>
  <c r="M17" i="3" s="1"/>
  <c r="M16" i="4"/>
  <c r="M15" i="4"/>
  <c r="M14" i="4"/>
  <c r="M28" i="3" l="1"/>
  <c r="Q119" i="2"/>
  <c r="Q118" i="2"/>
  <c r="Q43" i="2"/>
  <c r="Q44" i="2"/>
  <c r="L50" i="2"/>
  <c r="L49" i="2"/>
  <c r="Q652" i="2"/>
  <c r="Q650" i="2"/>
  <c r="H110" i="12"/>
  <c r="I110" i="12"/>
  <c r="Q698" i="2"/>
  <c r="Q696" i="2"/>
  <c r="Q706" i="2"/>
  <c r="Q708" i="2"/>
  <c r="Q38" i="2"/>
  <c r="Q37" i="2"/>
  <c r="Q47" i="2"/>
  <c r="Q46" i="2"/>
  <c r="Q59" i="2"/>
  <c r="Q58" i="2"/>
  <c r="Q70" i="2"/>
  <c r="Q71" i="2"/>
  <c r="Q646" i="2"/>
  <c r="Q644" i="2"/>
  <c r="H31" i="12"/>
  <c r="Q683" i="2"/>
  <c r="Q681" i="2"/>
  <c r="H110" i="13"/>
  <c r="I110" i="13" s="1"/>
  <c r="Q67" i="2"/>
  <c r="Q68" i="2"/>
  <c r="L136" i="2"/>
  <c r="M14" i="3"/>
  <c r="M18" i="4"/>
  <c r="L88" i="2"/>
  <c r="M23" i="3"/>
  <c r="M31" i="4"/>
  <c r="L91" i="2"/>
  <c r="L68" i="2"/>
  <c r="L67" i="2"/>
  <c r="Q641" i="2"/>
  <c r="Q643" i="2"/>
  <c r="H13" i="12"/>
  <c r="Q674" i="2"/>
  <c r="Q672" i="2"/>
  <c r="Q720" i="2"/>
  <c r="Q718" i="2"/>
  <c r="Q117" i="2"/>
  <c r="Q50" i="2"/>
  <c r="Q49" i="2"/>
  <c r="Q61" i="2"/>
  <c r="Q62" i="2"/>
  <c r="Q73" i="2"/>
  <c r="Q74" i="2"/>
  <c r="L61" i="2"/>
  <c r="L62" i="2"/>
  <c r="L175" i="2"/>
  <c r="L177" i="2"/>
  <c r="L176" i="2"/>
  <c r="Q656" i="2"/>
  <c r="Q658" i="2"/>
  <c r="Q55" i="2"/>
  <c r="Q56" i="2"/>
  <c r="M13" i="3"/>
  <c r="L95" i="2"/>
  <c r="L96" i="2"/>
  <c r="L65" i="2"/>
  <c r="L64" i="2"/>
  <c r="L129" i="2"/>
  <c r="L128" i="2"/>
  <c r="L127" i="2"/>
  <c r="L59" i="2"/>
  <c r="L58" i="2"/>
  <c r="L71" i="2"/>
  <c r="L70" i="2"/>
  <c r="M31" i="5"/>
  <c r="L139" i="2"/>
  <c r="L256" i="2"/>
  <c r="L287" i="2"/>
  <c r="L319" i="2"/>
  <c r="L288" i="2"/>
  <c r="L257" i="2"/>
  <c r="L318" i="2"/>
  <c r="L226" i="2"/>
  <c r="L225" i="2"/>
  <c r="Q647" i="2"/>
  <c r="H24" i="12"/>
  <c r="I24" i="12" s="1"/>
  <c r="Q649" i="2"/>
  <c r="Q677" i="2"/>
  <c r="Q675" i="2"/>
  <c r="Q689" i="2"/>
  <c r="Q687" i="2"/>
  <c r="Q712" i="2"/>
  <c r="Q714" i="2"/>
  <c r="Q41" i="2"/>
  <c r="Q40" i="2"/>
  <c r="Q53" i="2"/>
  <c r="Q52" i="2"/>
  <c r="Q65" i="2"/>
  <c r="Q64" i="2"/>
  <c r="Q77" i="2"/>
  <c r="Q76" i="2"/>
  <c r="Q83" i="2"/>
  <c r="Q82" i="2"/>
  <c r="Q353" i="2"/>
  <c r="L105" i="2"/>
  <c r="Q508" i="2"/>
  <c r="Q509" i="2"/>
  <c r="Q502" i="2"/>
  <c r="Q503" i="2"/>
  <c r="Q520" i="2"/>
  <c r="Q521" i="2"/>
  <c r="Q580" i="2"/>
  <c r="Q579" i="2"/>
  <c r="Q561" i="2"/>
  <c r="Q562" i="2"/>
  <c r="Q568" i="2"/>
  <c r="Q567" i="2"/>
  <c r="Q456" i="2"/>
  <c r="Q455" i="2"/>
  <c r="Q729" i="2"/>
  <c r="Q727" i="2"/>
  <c r="Q667" i="2"/>
  <c r="Q665" i="2"/>
  <c r="D30" i="19"/>
  <c r="F30" i="19" s="1"/>
  <c r="M47" i="3"/>
  <c r="L185" i="2"/>
  <c r="L186" i="2"/>
  <c r="L190" i="2"/>
  <c r="M30" i="3"/>
  <c r="R61" i="5"/>
  <c r="Q134" i="2"/>
  <c r="Q135" i="2"/>
  <c r="Q140" i="2"/>
  <c r="Q141" i="2"/>
  <c r="M18" i="6"/>
  <c r="L184" i="2"/>
  <c r="Q138" i="2"/>
  <c r="Q142" i="2"/>
  <c r="Q137" i="2"/>
  <c r="L143" i="2"/>
  <c r="M51" i="3"/>
  <c r="M29" i="3"/>
  <c r="L187" i="2"/>
  <c r="Q19" i="2"/>
  <c r="R41" i="5"/>
  <c r="Q171" i="2"/>
  <c r="Q172" i="2"/>
  <c r="Q169" i="2"/>
  <c r="Q173" i="2"/>
  <c r="Q188" i="2"/>
  <c r="Q185" i="2"/>
  <c r="Q186" i="2"/>
  <c r="Q190" i="2"/>
  <c r="R41" i="6"/>
  <c r="Q208" i="2"/>
  <c r="Q209" i="2"/>
  <c r="Q206" i="2"/>
  <c r="Q210" i="2"/>
  <c r="C73" i="8"/>
  <c r="Q429" i="2"/>
  <c r="R61" i="4"/>
  <c r="Q86" i="2"/>
  <c r="Q93" i="2"/>
  <c r="Q87" i="2"/>
  <c r="Q16" i="2"/>
  <c r="Q90" i="2"/>
  <c r="Q94" i="2"/>
  <c r="Q89" i="2"/>
  <c r="Q92" i="2"/>
  <c r="R41" i="4"/>
  <c r="Q121" i="2"/>
  <c r="Q125" i="2"/>
  <c r="Q123" i="2"/>
  <c r="Q124" i="2"/>
  <c r="Q194" i="2"/>
  <c r="Q195" i="2"/>
  <c r="Q103" i="2"/>
  <c r="Q104" i="2"/>
  <c r="Q151" i="2"/>
  <c r="Q152" i="2"/>
  <c r="L196" i="2"/>
  <c r="L153" i="2"/>
  <c r="Q157" i="2"/>
  <c r="Q158" i="2"/>
  <c r="Q109" i="2"/>
  <c r="Q110" i="2"/>
  <c r="M15" i="3"/>
  <c r="M16" i="3"/>
  <c r="M18" i="5"/>
  <c r="C38" i="8"/>
  <c r="C92" i="8"/>
  <c r="M52" i="3"/>
  <c r="M50" i="3"/>
  <c r="R39" i="3"/>
  <c r="M22" i="3"/>
  <c r="R18" i="3"/>
  <c r="M12" i="3"/>
  <c r="R61" i="6"/>
  <c r="R31" i="3"/>
  <c r="C89" i="8"/>
  <c r="T728" i="2"/>
  <c r="S728" i="2"/>
  <c r="R728" i="2"/>
  <c r="T725" i="2"/>
  <c r="S725" i="2"/>
  <c r="R725" i="2"/>
  <c r="T722" i="2"/>
  <c r="S722" i="2"/>
  <c r="R722" i="2"/>
  <c r="T719" i="2"/>
  <c r="S719" i="2"/>
  <c r="R719" i="2"/>
  <c r="T716" i="2"/>
  <c r="S716" i="2"/>
  <c r="R716" i="2"/>
  <c r="T710" i="2"/>
  <c r="S710" i="2"/>
  <c r="R710" i="2"/>
  <c r="T707" i="2"/>
  <c r="S707" i="2"/>
  <c r="R707" i="2"/>
  <c r="T704" i="2"/>
  <c r="S704" i="2"/>
  <c r="R704" i="2"/>
  <c r="T697" i="2"/>
  <c r="S697" i="2"/>
  <c r="R697" i="2"/>
  <c r="T694" i="2"/>
  <c r="S694" i="2"/>
  <c r="R694" i="2"/>
  <c r="T691" i="2"/>
  <c r="S691" i="2"/>
  <c r="R691" i="2"/>
  <c r="T688" i="2"/>
  <c r="S688" i="2"/>
  <c r="R688" i="2"/>
  <c r="T685" i="2"/>
  <c r="S685" i="2"/>
  <c r="R685" i="2"/>
  <c r="T679" i="2"/>
  <c r="S679" i="2"/>
  <c r="R679" i="2"/>
  <c r="T676" i="2"/>
  <c r="S676" i="2"/>
  <c r="R676" i="2"/>
  <c r="T673" i="2"/>
  <c r="S673" i="2"/>
  <c r="R673" i="2"/>
  <c r="T666" i="2"/>
  <c r="S666" i="2"/>
  <c r="R666" i="2"/>
  <c r="T663" i="2"/>
  <c r="S663" i="2"/>
  <c r="R663" i="2"/>
  <c r="T660" i="2"/>
  <c r="S660" i="2"/>
  <c r="R660" i="2"/>
  <c r="T657" i="2"/>
  <c r="S657" i="2"/>
  <c r="R657" i="2"/>
  <c r="T654" i="2"/>
  <c r="S654" i="2"/>
  <c r="R654" i="2"/>
  <c r="T648" i="2"/>
  <c r="S648" i="2"/>
  <c r="R648" i="2"/>
  <c r="T645" i="2"/>
  <c r="S645" i="2"/>
  <c r="R645" i="2"/>
  <c r="T642" i="2"/>
  <c r="S642" i="2"/>
  <c r="R642" i="2"/>
  <c r="T631" i="2"/>
  <c r="S631" i="2"/>
  <c r="R631" i="2"/>
  <c r="T628" i="2"/>
  <c r="S628" i="2"/>
  <c r="R628" i="2"/>
  <c r="T625" i="2"/>
  <c r="S625" i="2"/>
  <c r="R625" i="2"/>
  <c r="T622" i="2"/>
  <c r="S622" i="2"/>
  <c r="R622" i="2"/>
  <c r="T619" i="2"/>
  <c r="S619" i="2"/>
  <c r="R619" i="2"/>
  <c r="T613" i="2"/>
  <c r="S613" i="2"/>
  <c r="R613" i="2"/>
  <c r="T610" i="2"/>
  <c r="S610" i="2"/>
  <c r="R610" i="2"/>
  <c r="T607" i="2"/>
  <c r="S607" i="2"/>
  <c r="R607" i="2"/>
  <c r="T581" i="2"/>
  <c r="S581" i="2"/>
  <c r="R581" i="2"/>
  <c r="T569" i="2"/>
  <c r="S569" i="2"/>
  <c r="R569" i="2"/>
  <c r="T563" i="2"/>
  <c r="S563" i="2"/>
  <c r="R563" i="2"/>
  <c r="T522" i="2"/>
  <c r="S522" i="2"/>
  <c r="R522" i="2"/>
  <c r="T510" i="2"/>
  <c r="S510" i="2"/>
  <c r="R510" i="2"/>
  <c r="T504" i="2"/>
  <c r="S504" i="2"/>
  <c r="R504" i="2"/>
  <c r="T457" i="2"/>
  <c r="S457" i="2"/>
  <c r="R457" i="2"/>
  <c r="T353" i="2"/>
  <c r="S353" i="2"/>
  <c r="R353" i="2"/>
  <c r="O211" i="2"/>
  <c r="N211" i="2"/>
  <c r="M211" i="2"/>
  <c r="K211" i="2"/>
  <c r="J211" i="2"/>
  <c r="I211" i="2"/>
  <c r="H211" i="2"/>
  <c r="G211" i="2"/>
  <c r="F211" i="2"/>
  <c r="E211" i="2"/>
  <c r="O207" i="2"/>
  <c r="N207" i="2"/>
  <c r="M207" i="2"/>
  <c r="K207" i="2"/>
  <c r="J207" i="2"/>
  <c r="I207" i="2"/>
  <c r="H207" i="2"/>
  <c r="G207" i="2"/>
  <c r="F207" i="2"/>
  <c r="E207" i="2"/>
  <c r="O196" i="2"/>
  <c r="N196" i="2"/>
  <c r="M196" i="2"/>
  <c r="K196" i="2"/>
  <c r="J196" i="2"/>
  <c r="I196" i="2"/>
  <c r="H196" i="2"/>
  <c r="G196" i="2"/>
  <c r="F196" i="2"/>
  <c r="E196" i="2"/>
  <c r="O187" i="2"/>
  <c r="N187" i="2"/>
  <c r="M187" i="2"/>
  <c r="K187" i="2"/>
  <c r="J187" i="2"/>
  <c r="I187" i="2"/>
  <c r="H187" i="2"/>
  <c r="G187" i="2"/>
  <c r="F187" i="2"/>
  <c r="E187" i="2"/>
  <c r="O184" i="2"/>
  <c r="N184" i="2"/>
  <c r="M184" i="2"/>
  <c r="K184" i="2"/>
  <c r="J184" i="2"/>
  <c r="I184" i="2"/>
  <c r="H184" i="2"/>
  <c r="G184" i="2"/>
  <c r="F184" i="2"/>
  <c r="O179" i="2"/>
  <c r="N179" i="2"/>
  <c r="M179" i="2"/>
  <c r="K179" i="2"/>
  <c r="J179" i="2"/>
  <c r="O177" i="2"/>
  <c r="N177" i="2"/>
  <c r="M177" i="2"/>
  <c r="K177" i="2"/>
  <c r="J177" i="2"/>
  <c r="O176" i="2"/>
  <c r="N176" i="2"/>
  <c r="M176" i="2"/>
  <c r="K176" i="2"/>
  <c r="J176" i="2"/>
  <c r="O175" i="2"/>
  <c r="N175" i="2"/>
  <c r="M175" i="2"/>
  <c r="K175" i="2"/>
  <c r="J175" i="2"/>
  <c r="O174" i="2"/>
  <c r="N174" i="2"/>
  <c r="M174" i="2"/>
  <c r="K174" i="2"/>
  <c r="J174" i="2"/>
  <c r="I174" i="2"/>
  <c r="H174" i="2"/>
  <c r="G174" i="2"/>
  <c r="F174" i="2"/>
  <c r="O170" i="2"/>
  <c r="N170" i="2"/>
  <c r="M170" i="2"/>
  <c r="K170" i="2"/>
  <c r="J170" i="2"/>
  <c r="I170" i="2"/>
  <c r="H170" i="2"/>
  <c r="G170" i="2"/>
  <c r="F170" i="2"/>
  <c r="G162" i="2"/>
  <c r="O159" i="2"/>
  <c r="N159" i="2"/>
  <c r="M159" i="2"/>
  <c r="K159" i="2"/>
  <c r="J159" i="2"/>
  <c r="I159" i="2"/>
  <c r="H159" i="2"/>
  <c r="G159" i="2"/>
  <c r="F159" i="2"/>
  <c r="E159" i="2"/>
  <c r="O153" i="2"/>
  <c r="N153" i="2"/>
  <c r="M153" i="2"/>
  <c r="K153" i="2"/>
  <c r="J153" i="2"/>
  <c r="I153" i="2"/>
  <c r="H153" i="2"/>
  <c r="G153" i="2"/>
  <c r="F153" i="2"/>
  <c r="E153" i="2"/>
  <c r="O144" i="2"/>
  <c r="N144" i="2"/>
  <c r="M144" i="2"/>
  <c r="K144" i="2"/>
  <c r="J144" i="2"/>
  <c r="O143" i="2"/>
  <c r="N143" i="2"/>
  <c r="M143" i="2"/>
  <c r="K143" i="2"/>
  <c r="J143" i="2"/>
  <c r="O139" i="2"/>
  <c r="N139" i="2"/>
  <c r="M139" i="2"/>
  <c r="K139" i="2"/>
  <c r="J139" i="2"/>
  <c r="I139" i="2"/>
  <c r="G139" i="2"/>
  <c r="F139" i="2"/>
  <c r="E139" i="2"/>
  <c r="O136" i="2"/>
  <c r="N136" i="2"/>
  <c r="M136" i="2"/>
  <c r="K136" i="2"/>
  <c r="J136" i="2"/>
  <c r="I136" i="2"/>
  <c r="H136" i="2"/>
  <c r="G136" i="2"/>
  <c r="F136" i="2"/>
  <c r="K131" i="2"/>
  <c r="J131" i="2"/>
  <c r="O129" i="2"/>
  <c r="N129" i="2"/>
  <c r="M129" i="2"/>
  <c r="K129" i="2"/>
  <c r="J129" i="2"/>
  <c r="O128" i="2"/>
  <c r="N128" i="2"/>
  <c r="M128" i="2"/>
  <c r="K128" i="2"/>
  <c r="J128" i="2"/>
  <c r="O127" i="2"/>
  <c r="N127" i="2"/>
  <c r="M127" i="2"/>
  <c r="K127" i="2"/>
  <c r="J127" i="2"/>
  <c r="O126" i="2"/>
  <c r="N126" i="2"/>
  <c r="M126" i="2"/>
  <c r="K126" i="2"/>
  <c r="J126" i="2"/>
  <c r="I126" i="2"/>
  <c r="H126" i="2"/>
  <c r="G126" i="2"/>
  <c r="F126" i="2"/>
  <c r="E126" i="2"/>
  <c r="O122" i="2"/>
  <c r="N122" i="2"/>
  <c r="M122" i="2"/>
  <c r="K122" i="2"/>
  <c r="J122" i="2"/>
  <c r="I122" i="2"/>
  <c r="H122" i="2"/>
  <c r="G122" i="2"/>
  <c r="F122" i="2"/>
  <c r="G114" i="2"/>
  <c r="O111" i="2"/>
  <c r="N111" i="2"/>
  <c r="M111" i="2"/>
  <c r="K111" i="2"/>
  <c r="J111" i="2"/>
  <c r="I111" i="2"/>
  <c r="H111" i="2"/>
  <c r="G111" i="2"/>
  <c r="F111" i="2"/>
  <c r="E111" i="2"/>
  <c r="O105" i="2"/>
  <c r="N105" i="2"/>
  <c r="M105" i="2"/>
  <c r="K105" i="2"/>
  <c r="J105" i="2"/>
  <c r="I105" i="2"/>
  <c r="H105" i="2"/>
  <c r="G105" i="2"/>
  <c r="F105" i="2"/>
  <c r="E105" i="2"/>
  <c r="O96" i="2"/>
  <c r="N96" i="2"/>
  <c r="M96" i="2"/>
  <c r="O95" i="2"/>
  <c r="N95" i="2"/>
  <c r="M95" i="2"/>
  <c r="O91" i="2"/>
  <c r="N91" i="2"/>
  <c r="M91" i="2"/>
  <c r="K91" i="2"/>
  <c r="J91" i="2"/>
  <c r="I91" i="2"/>
  <c r="H91" i="2"/>
  <c r="G91" i="2"/>
  <c r="F91" i="2"/>
  <c r="E91" i="2"/>
  <c r="O88" i="2"/>
  <c r="N88" i="2"/>
  <c r="M88" i="2"/>
  <c r="K88" i="2"/>
  <c r="J88" i="2"/>
  <c r="I88" i="2"/>
  <c r="H88" i="2"/>
  <c r="G88" i="2"/>
  <c r="F88" i="2"/>
  <c r="G27" i="2"/>
  <c r="H26" i="2"/>
  <c r="O24" i="2"/>
  <c r="N24" i="2"/>
  <c r="M24" i="2"/>
  <c r="K24" i="2"/>
  <c r="J24" i="2"/>
  <c r="I24" i="2"/>
  <c r="H24" i="2"/>
  <c r="O23" i="2"/>
  <c r="N23" i="2"/>
  <c r="M23" i="2"/>
  <c r="K23" i="2"/>
  <c r="J23" i="2"/>
  <c r="I23" i="2"/>
  <c r="H23" i="2"/>
  <c r="Q116" i="2" l="1"/>
  <c r="R51" i="4"/>
  <c r="Q115" i="2"/>
  <c r="L140" i="2"/>
  <c r="L134" i="2"/>
  <c r="L141" i="2"/>
  <c r="L135" i="2"/>
  <c r="L137" i="2"/>
  <c r="L142" i="2"/>
  <c r="L138" i="2"/>
  <c r="L73" i="2"/>
  <c r="L74" i="2"/>
  <c r="L55" i="2"/>
  <c r="L56" i="2"/>
  <c r="L19" i="2"/>
  <c r="L53" i="2"/>
  <c r="L52" i="2"/>
  <c r="L47" i="2"/>
  <c r="L46" i="2"/>
  <c r="L77" i="2"/>
  <c r="L76" i="2"/>
  <c r="M31" i="3"/>
  <c r="L18" i="2" s="1"/>
  <c r="L43" i="2"/>
  <c r="L44" i="2"/>
  <c r="L92" i="2"/>
  <c r="L93" i="2"/>
  <c r="L86" i="2"/>
  <c r="L87" i="2"/>
  <c r="L38" i="2"/>
  <c r="L37" i="2"/>
  <c r="L90" i="2"/>
  <c r="L94" i="2"/>
  <c r="L89" i="2"/>
  <c r="L41" i="2"/>
  <c r="L40" i="2"/>
  <c r="Q393" i="2"/>
  <c r="Q394" i="2"/>
  <c r="Q351" i="2"/>
  <c r="Q395" i="2"/>
  <c r="Q352" i="2"/>
  <c r="Q382" i="2"/>
  <c r="Q631" i="2"/>
  <c r="L189" i="2"/>
  <c r="L182" i="2"/>
  <c r="L183" i="2"/>
  <c r="L188" i="2"/>
  <c r="Q354" i="2"/>
  <c r="Q355" i="2"/>
  <c r="Q192" i="2"/>
  <c r="Q13" i="2"/>
  <c r="Q130" i="2"/>
  <c r="Q132" i="2"/>
  <c r="Q33" i="2"/>
  <c r="Q15" i="2"/>
  <c r="Q14" i="2"/>
  <c r="Q21" i="2"/>
  <c r="Q20" i="2"/>
  <c r="Q22" i="2"/>
  <c r="Q18" i="2"/>
  <c r="Q17" i="2"/>
  <c r="L16" i="2"/>
  <c r="M18" i="3"/>
  <c r="R61" i="3"/>
  <c r="R66" i="6"/>
  <c r="Q191" i="2" s="1"/>
  <c r="Q131" i="2" l="1"/>
  <c r="R51" i="3"/>
  <c r="L17" i="2"/>
  <c r="L22" i="2"/>
  <c r="Q35" i="2"/>
  <c r="Q34" i="2"/>
  <c r="Q193" i="2"/>
  <c r="Q198" i="2"/>
  <c r="Q11" i="2"/>
  <c r="Q32" i="2"/>
  <c r="Q31" i="2"/>
  <c r="Q12" i="2"/>
  <c r="L21" i="2"/>
  <c r="L20" i="2"/>
  <c r="L14" i="2"/>
  <c r="L15" i="2"/>
  <c r="R70" i="6"/>
  <c r="Q199" i="2" l="1"/>
  <c r="Q197" i="2"/>
  <c r="P47" i="3" l="1"/>
  <c r="O47" i="3"/>
  <c r="N47" i="3"/>
  <c r="L47" i="3"/>
  <c r="K47" i="3"/>
  <c r="J47" i="3"/>
  <c r="P13" i="3" l="1"/>
  <c r="O13" i="3"/>
  <c r="N13" i="3"/>
  <c r="L13" i="3"/>
  <c r="K13" i="3"/>
  <c r="P68" i="6" l="1"/>
  <c r="O68" i="6"/>
  <c r="N68" i="6"/>
  <c r="L68" i="6"/>
  <c r="K68" i="6"/>
  <c r="P39" i="6"/>
  <c r="O39" i="6"/>
  <c r="N39" i="6"/>
  <c r="L39" i="6"/>
  <c r="K39" i="6"/>
  <c r="J39" i="6"/>
  <c r="J41" i="6" s="1"/>
  <c r="P31" i="6"/>
  <c r="O31" i="6"/>
  <c r="N31" i="6"/>
  <c r="L31" i="6"/>
  <c r="K31" i="6"/>
  <c r="J31" i="6"/>
  <c r="R32" i="6" s="1"/>
  <c r="P18" i="6"/>
  <c r="P60" i="6" s="1"/>
  <c r="O18" i="6"/>
  <c r="O60" i="6" s="1"/>
  <c r="N18" i="6"/>
  <c r="N60" i="6" s="1"/>
  <c r="L18" i="6"/>
  <c r="L60" i="6" s="1"/>
  <c r="K18" i="6"/>
  <c r="K60" i="6" s="1"/>
  <c r="M60" i="6" s="1"/>
  <c r="M61" i="6" s="1"/>
  <c r="J18" i="6"/>
  <c r="R19" i="6" s="1"/>
  <c r="P68" i="5"/>
  <c r="O68" i="5"/>
  <c r="N68" i="5"/>
  <c r="L68" i="5"/>
  <c r="K68" i="5"/>
  <c r="P64" i="5"/>
  <c r="O64" i="5"/>
  <c r="N64" i="5"/>
  <c r="L64" i="5"/>
  <c r="K64" i="5"/>
  <c r="P39" i="5"/>
  <c r="O39" i="5"/>
  <c r="N39" i="5"/>
  <c r="L39" i="5"/>
  <c r="K39" i="5"/>
  <c r="J39" i="5"/>
  <c r="P31" i="5"/>
  <c r="P60" i="5" s="1"/>
  <c r="O31" i="5"/>
  <c r="O60" i="5" s="1"/>
  <c r="N31" i="5"/>
  <c r="N60" i="5" s="1"/>
  <c r="N60" i="3" s="1"/>
  <c r="L31" i="5"/>
  <c r="L60" i="5" s="1"/>
  <c r="K31" i="5"/>
  <c r="K60" i="5" s="1"/>
  <c r="J31" i="5"/>
  <c r="R32" i="5" s="1"/>
  <c r="P18" i="5"/>
  <c r="O18" i="5"/>
  <c r="N18" i="5"/>
  <c r="L18" i="5"/>
  <c r="K18" i="5"/>
  <c r="J18" i="5"/>
  <c r="R19" i="5" s="1"/>
  <c r="P17" i="3"/>
  <c r="O17" i="3"/>
  <c r="N17" i="3"/>
  <c r="L17" i="3"/>
  <c r="P16" i="3"/>
  <c r="O16" i="3"/>
  <c r="L16" i="3"/>
  <c r="P15" i="3"/>
  <c r="O15" i="3"/>
  <c r="N15" i="3"/>
  <c r="L15" i="3"/>
  <c r="P14" i="3"/>
  <c r="O14" i="3"/>
  <c r="N14" i="3"/>
  <c r="L14" i="3"/>
  <c r="P12" i="3"/>
  <c r="O12" i="3"/>
  <c r="N12" i="3"/>
  <c r="L12" i="3"/>
  <c r="P30" i="3"/>
  <c r="O30" i="3"/>
  <c r="N30" i="3"/>
  <c r="L30" i="3"/>
  <c r="P29" i="3"/>
  <c r="O29" i="3"/>
  <c r="N29" i="3"/>
  <c r="L29" i="3"/>
  <c r="P28" i="3"/>
  <c r="O28" i="3"/>
  <c r="N28" i="3"/>
  <c r="L28" i="3"/>
  <c r="P27" i="3"/>
  <c r="O27" i="3"/>
  <c r="N27" i="3"/>
  <c r="L27" i="3"/>
  <c r="P26" i="3"/>
  <c r="O26" i="3"/>
  <c r="N26" i="3"/>
  <c r="L26" i="3"/>
  <c r="P25" i="3"/>
  <c r="O25" i="3"/>
  <c r="N25" i="3"/>
  <c r="L25" i="3"/>
  <c r="P24" i="3"/>
  <c r="O24" i="3"/>
  <c r="N24" i="3"/>
  <c r="L24" i="3"/>
  <c r="P23" i="3"/>
  <c r="O23" i="3"/>
  <c r="N23" i="3"/>
  <c r="L23" i="3"/>
  <c r="P22" i="3"/>
  <c r="O22" i="3"/>
  <c r="N22" i="3"/>
  <c r="L22" i="3"/>
  <c r="P38" i="3"/>
  <c r="O38" i="3"/>
  <c r="N38" i="3"/>
  <c r="L38" i="3"/>
  <c r="P37" i="3"/>
  <c r="O37" i="3"/>
  <c r="N37" i="3"/>
  <c r="L37" i="3"/>
  <c r="P36" i="3"/>
  <c r="O36" i="3"/>
  <c r="N36" i="3"/>
  <c r="L36" i="3"/>
  <c r="P52" i="3"/>
  <c r="O52" i="3"/>
  <c r="N52" i="3"/>
  <c r="L52" i="3"/>
  <c r="L51" i="3"/>
  <c r="P50" i="3"/>
  <c r="O50" i="3"/>
  <c r="N50" i="3"/>
  <c r="L50" i="3"/>
  <c r="P69" i="3"/>
  <c r="O69" i="3"/>
  <c r="N69" i="3"/>
  <c r="L69" i="3"/>
  <c r="K103" i="2"/>
  <c r="P64" i="4"/>
  <c r="O64" i="4"/>
  <c r="N64" i="4"/>
  <c r="L64" i="4"/>
  <c r="K60" i="3" l="1"/>
  <c r="M60" i="5"/>
  <c r="M61" i="5" s="1"/>
  <c r="Q546" i="2"/>
  <c r="C12" i="17"/>
  <c r="L192" i="2"/>
  <c r="O53" i="2"/>
  <c r="O52" i="2"/>
  <c r="O56" i="2"/>
  <c r="O55" i="2"/>
  <c r="O58" i="2"/>
  <c r="O59" i="2"/>
  <c r="O62" i="2"/>
  <c r="O61" i="2"/>
  <c r="O64" i="2"/>
  <c r="O65" i="2"/>
  <c r="O68" i="2"/>
  <c r="O67" i="2"/>
  <c r="O71" i="2"/>
  <c r="O70" i="2"/>
  <c r="O73" i="2"/>
  <c r="O74" i="2"/>
  <c r="O76" i="2"/>
  <c r="O77" i="2"/>
  <c r="O16" i="2"/>
  <c r="O38" i="2"/>
  <c r="O37" i="2"/>
  <c r="O41" i="2"/>
  <c r="O40" i="2"/>
  <c r="O44" i="2"/>
  <c r="O43" i="2"/>
  <c r="O46" i="2"/>
  <c r="O47" i="2"/>
  <c r="O50" i="2"/>
  <c r="O49" i="2"/>
  <c r="K19" i="2"/>
  <c r="K53" i="2"/>
  <c r="K52" i="2"/>
  <c r="K56" i="2"/>
  <c r="K55" i="2"/>
  <c r="K58" i="2"/>
  <c r="K59" i="2"/>
  <c r="K62" i="2"/>
  <c r="K61" i="2"/>
  <c r="K64" i="2"/>
  <c r="K65" i="2"/>
  <c r="K68" i="2"/>
  <c r="K67" i="2"/>
  <c r="K71" i="2"/>
  <c r="K70" i="2"/>
  <c r="K73" i="2"/>
  <c r="K74" i="2"/>
  <c r="K76" i="2"/>
  <c r="K77" i="2"/>
  <c r="K16" i="2"/>
  <c r="K38" i="2"/>
  <c r="K37" i="2"/>
  <c r="K41" i="2"/>
  <c r="K40" i="2"/>
  <c r="K44" i="2"/>
  <c r="K43" i="2"/>
  <c r="K46" i="2"/>
  <c r="K47" i="2"/>
  <c r="K50" i="2"/>
  <c r="K49" i="2"/>
  <c r="M83" i="2"/>
  <c r="M82" i="2"/>
  <c r="M19" i="2"/>
  <c r="M52" i="2"/>
  <c r="M53" i="2"/>
  <c r="M56" i="2"/>
  <c r="M55" i="2"/>
  <c r="M58" i="2"/>
  <c r="M59" i="2"/>
  <c r="M62" i="2"/>
  <c r="M61" i="2"/>
  <c r="M64" i="2"/>
  <c r="M65" i="2"/>
  <c r="M68" i="2"/>
  <c r="M67" i="2"/>
  <c r="M70" i="2"/>
  <c r="M71" i="2"/>
  <c r="M74" i="2"/>
  <c r="M73" i="2"/>
  <c r="M77" i="2"/>
  <c r="M76" i="2"/>
  <c r="M38" i="2"/>
  <c r="M37" i="2"/>
  <c r="M40" i="2"/>
  <c r="M41" i="2"/>
  <c r="M44" i="2"/>
  <c r="M43" i="2"/>
  <c r="M47" i="2"/>
  <c r="M46" i="2"/>
  <c r="M50" i="2"/>
  <c r="M49" i="2"/>
  <c r="N19" i="2"/>
  <c r="N53" i="2"/>
  <c r="N52" i="2"/>
  <c r="N56" i="2"/>
  <c r="N55" i="2"/>
  <c r="N59" i="2"/>
  <c r="N58" i="2"/>
  <c r="N61" i="2"/>
  <c r="N62" i="2"/>
  <c r="N64" i="2"/>
  <c r="N65" i="2"/>
  <c r="N67" i="2"/>
  <c r="N68" i="2"/>
  <c r="N71" i="2"/>
  <c r="N70" i="2"/>
  <c r="N74" i="2"/>
  <c r="N73" i="2"/>
  <c r="N76" i="2"/>
  <c r="N77" i="2"/>
  <c r="N16" i="2"/>
  <c r="N37" i="2"/>
  <c r="N38" i="2"/>
  <c r="N41" i="2"/>
  <c r="N40" i="2"/>
  <c r="N44" i="2"/>
  <c r="N43" i="2"/>
  <c r="N47" i="2"/>
  <c r="N46" i="2"/>
  <c r="N49" i="2"/>
  <c r="N50" i="2"/>
  <c r="I166" i="2"/>
  <c r="I167" i="2"/>
  <c r="M68" i="5"/>
  <c r="O19" i="2"/>
  <c r="M68" i="6"/>
  <c r="Q551" i="2" s="1"/>
  <c r="M16" i="2"/>
  <c r="P61" i="5"/>
  <c r="O140" i="2"/>
  <c r="O141" i="2"/>
  <c r="O135" i="2"/>
  <c r="O134" i="2"/>
  <c r="M142" i="2"/>
  <c r="M138" i="2"/>
  <c r="M137" i="2"/>
  <c r="P41" i="5"/>
  <c r="O165" i="2"/>
  <c r="O171" i="2"/>
  <c r="O169" i="2"/>
  <c r="O172" i="2"/>
  <c r="O173" i="2"/>
  <c r="M141" i="2"/>
  <c r="M135" i="2"/>
  <c r="M140" i="2"/>
  <c r="M134" i="2"/>
  <c r="J138" i="2"/>
  <c r="J137" i="2"/>
  <c r="J142" i="2"/>
  <c r="O138" i="2"/>
  <c r="O137" i="2"/>
  <c r="O142" i="2"/>
  <c r="N41" i="5"/>
  <c r="M173" i="2"/>
  <c r="M172" i="2"/>
  <c r="M171" i="2"/>
  <c r="M169" i="2"/>
  <c r="M165" i="2"/>
  <c r="K61" i="5"/>
  <c r="J135" i="2"/>
  <c r="J134" i="2"/>
  <c r="J141" i="2"/>
  <c r="J140" i="2"/>
  <c r="K41" i="5"/>
  <c r="J165" i="2"/>
  <c r="J172" i="2"/>
  <c r="J173" i="2"/>
  <c r="J171" i="2"/>
  <c r="J169" i="2"/>
  <c r="K135" i="2"/>
  <c r="K134" i="2"/>
  <c r="K141" i="2"/>
  <c r="K140" i="2"/>
  <c r="N142" i="2"/>
  <c r="N137" i="2"/>
  <c r="N138" i="2"/>
  <c r="L41" i="5"/>
  <c r="K173" i="2"/>
  <c r="K172" i="2"/>
  <c r="K171" i="2"/>
  <c r="K169" i="2"/>
  <c r="K165" i="2"/>
  <c r="N141" i="2"/>
  <c r="N140" i="2"/>
  <c r="N134" i="2"/>
  <c r="N135" i="2"/>
  <c r="K138" i="2"/>
  <c r="K137" i="2"/>
  <c r="K142" i="2"/>
  <c r="O41" i="5"/>
  <c r="N169" i="2"/>
  <c r="N165" i="2"/>
  <c r="N173" i="2"/>
  <c r="N171" i="2"/>
  <c r="N172" i="2"/>
  <c r="O188" i="2"/>
  <c r="O183" i="2"/>
  <c r="O189" i="2"/>
  <c r="O182" i="2"/>
  <c r="L61" i="6"/>
  <c r="K183" i="2"/>
  <c r="K189" i="2"/>
  <c r="K182" i="2"/>
  <c r="K188" i="2"/>
  <c r="N185" i="2"/>
  <c r="N186" i="2"/>
  <c r="N190" i="2"/>
  <c r="M182" i="2"/>
  <c r="M189" i="2"/>
  <c r="M188" i="2"/>
  <c r="M183" i="2"/>
  <c r="J185" i="2"/>
  <c r="J186" i="2"/>
  <c r="J190" i="2"/>
  <c r="O190" i="2"/>
  <c r="O185" i="2"/>
  <c r="O186" i="2"/>
  <c r="N41" i="6"/>
  <c r="M208" i="2"/>
  <c r="M209" i="2"/>
  <c r="M202" i="2"/>
  <c r="M210" i="2"/>
  <c r="M206" i="2"/>
  <c r="J188" i="2"/>
  <c r="J183" i="2"/>
  <c r="J189" i="2"/>
  <c r="J182" i="2"/>
  <c r="M190" i="2"/>
  <c r="M186" i="2"/>
  <c r="M185" i="2"/>
  <c r="K41" i="6"/>
  <c r="J210" i="2"/>
  <c r="J206" i="2"/>
  <c r="J202" i="2"/>
  <c r="J209" i="2"/>
  <c r="J208" i="2"/>
  <c r="P41" i="6"/>
  <c r="O210" i="2"/>
  <c r="O206" i="2"/>
  <c r="O202" i="2"/>
  <c r="O209" i="2"/>
  <c r="O208" i="2"/>
  <c r="I185" i="2"/>
  <c r="I190" i="2"/>
  <c r="I186" i="2"/>
  <c r="L41" i="6"/>
  <c r="K209" i="2"/>
  <c r="K208" i="2"/>
  <c r="K210" i="2"/>
  <c r="K206" i="2"/>
  <c r="K202" i="2"/>
  <c r="I189" i="2"/>
  <c r="I188" i="2"/>
  <c r="I183" i="2"/>
  <c r="I182" i="2"/>
  <c r="N189" i="2"/>
  <c r="N182" i="2"/>
  <c r="N188" i="2"/>
  <c r="N183" i="2"/>
  <c r="K185" i="2"/>
  <c r="K186" i="2"/>
  <c r="K190" i="2"/>
  <c r="I210" i="2"/>
  <c r="I206" i="2"/>
  <c r="I202" i="2"/>
  <c r="I208" i="2"/>
  <c r="I209" i="2"/>
  <c r="O41" i="6"/>
  <c r="N202" i="2"/>
  <c r="N210" i="2"/>
  <c r="N206" i="2"/>
  <c r="N208" i="2"/>
  <c r="N209" i="2"/>
  <c r="M104" i="2"/>
  <c r="R427" i="2"/>
  <c r="M103" i="2"/>
  <c r="M152" i="2"/>
  <c r="R492" i="2"/>
  <c r="M151" i="2"/>
  <c r="K195" i="2"/>
  <c r="K194" i="2"/>
  <c r="N109" i="2"/>
  <c r="N110" i="2"/>
  <c r="N103" i="2"/>
  <c r="N104" i="2"/>
  <c r="S427" i="2"/>
  <c r="J157" i="2"/>
  <c r="J158" i="2"/>
  <c r="O157" i="2"/>
  <c r="O158" i="2"/>
  <c r="S492" i="2"/>
  <c r="N151" i="2"/>
  <c r="N152" i="2"/>
  <c r="M194" i="2"/>
  <c r="R551" i="2"/>
  <c r="M195" i="2"/>
  <c r="M109" i="2"/>
  <c r="M110" i="2"/>
  <c r="N158" i="2"/>
  <c r="N157" i="2"/>
  <c r="O110" i="2"/>
  <c r="O109" i="2"/>
  <c r="T427" i="2"/>
  <c r="O103" i="2"/>
  <c r="O104" i="2"/>
  <c r="K157" i="2"/>
  <c r="K158" i="2"/>
  <c r="J152" i="2"/>
  <c r="J151" i="2"/>
  <c r="T492" i="2"/>
  <c r="O152" i="2"/>
  <c r="O151" i="2"/>
  <c r="S551" i="2"/>
  <c r="N195" i="2"/>
  <c r="N194" i="2"/>
  <c r="K109" i="2"/>
  <c r="K110" i="2"/>
  <c r="K104" i="2"/>
  <c r="M158" i="2"/>
  <c r="M157" i="2"/>
  <c r="K152" i="2"/>
  <c r="K151" i="2"/>
  <c r="J195" i="2"/>
  <c r="J194" i="2"/>
  <c r="O195" i="2"/>
  <c r="T551" i="2"/>
  <c r="O194" i="2"/>
  <c r="I171" i="2"/>
  <c r="I169" i="2"/>
  <c r="I165" i="2"/>
  <c r="I172" i="2"/>
  <c r="I173" i="2"/>
  <c r="I138" i="2"/>
  <c r="I137" i="2"/>
  <c r="I142" i="2"/>
  <c r="I141" i="2"/>
  <c r="I134" i="2"/>
  <c r="I140" i="2"/>
  <c r="I135" i="2"/>
  <c r="O69" i="5"/>
  <c r="N32" i="5"/>
  <c r="N32" i="6"/>
  <c r="K32" i="6"/>
  <c r="L32" i="6"/>
  <c r="N19" i="6"/>
  <c r="O19" i="6"/>
  <c r="O19" i="5"/>
  <c r="L19" i="5"/>
  <c r="P69" i="5"/>
  <c r="N69" i="6"/>
  <c r="O69" i="6"/>
  <c r="N69" i="5"/>
  <c r="P69" i="6"/>
  <c r="L69" i="5"/>
  <c r="L69" i="6"/>
  <c r="P32" i="6"/>
  <c r="N61" i="6"/>
  <c r="L19" i="6"/>
  <c r="K32" i="5"/>
  <c r="P32" i="5"/>
  <c r="N19" i="5"/>
  <c r="O32" i="6"/>
  <c r="K19" i="6"/>
  <c r="P19" i="6"/>
  <c r="O61" i="6"/>
  <c r="K61" i="6"/>
  <c r="P61" i="6"/>
  <c r="L32" i="5"/>
  <c r="O61" i="5"/>
  <c r="K19" i="5"/>
  <c r="L61" i="5"/>
  <c r="P19" i="5"/>
  <c r="J61" i="5"/>
  <c r="N61" i="5"/>
  <c r="O32" i="5"/>
  <c r="N69" i="4"/>
  <c r="O69" i="4"/>
  <c r="P69" i="4"/>
  <c r="P39" i="4"/>
  <c r="O39" i="4"/>
  <c r="N39" i="4"/>
  <c r="N41" i="4" s="1"/>
  <c r="N51" i="4" s="1"/>
  <c r="L39" i="4"/>
  <c r="P31" i="4"/>
  <c r="P60" i="4" s="1"/>
  <c r="P60" i="3" s="1"/>
  <c r="O83" i="2" s="1"/>
  <c r="O31" i="4"/>
  <c r="O60" i="4" s="1"/>
  <c r="O60" i="3" s="1"/>
  <c r="N83" i="2" s="1"/>
  <c r="L31" i="4"/>
  <c r="L60" i="4" s="1"/>
  <c r="P18" i="4"/>
  <c r="O18" i="4"/>
  <c r="N18" i="4"/>
  <c r="L18" i="4"/>
  <c r="M131" i="2" l="1"/>
  <c r="N51" i="3"/>
  <c r="N82" i="2"/>
  <c r="Q545" i="2"/>
  <c r="C81" i="17"/>
  <c r="Q544" i="2"/>
  <c r="Q557" i="2"/>
  <c r="O82" i="2"/>
  <c r="C15" i="10"/>
  <c r="C12" i="10"/>
  <c r="Q481" i="2"/>
  <c r="Q484" i="2"/>
  <c r="L60" i="3"/>
  <c r="M60" i="4"/>
  <c r="N118" i="2"/>
  <c r="N119" i="2"/>
  <c r="O119" i="2"/>
  <c r="O118" i="2"/>
  <c r="K119" i="2"/>
  <c r="K118" i="2"/>
  <c r="M118" i="2"/>
  <c r="M119" i="2"/>
  <c r="P41" i="4"/>
  <c r="O117" i="2"/>
  <c r="K117" i="2"/>
  <c r="O41" i="4"/>
  <c r="N117" i="2"/>
  <c r="M117" i="2"/>
  <c r="M116" i="2"/>
  <c r="M115" i="2"/>
  <c r="Q492" i="2"/>
  <c r="L151" i="2"/>
  <c r="L152" i="2"/>
  <c r="C92" i="10"/>
  <c r="L194" i="2"/>
  <c r="L195" i="2"/>
  <c r="C38" i="10"/>
  <c r="C38" i="17"/>
  <c r="C92" i="17"/>
  <c r="N61" i="4"/>
  <c r="N61" i="3" s="1"/>
  <c r="F9" i="19" s="1"/>
  <c r="M92" i="2"/>
  <c r="M87" i="2"/>
  <c r="M93" i="2"/>
  <c r="M86" i="2"/>
  <c r="M94" i="2"/>
  <c r="M90" i="2"/>
  <c r="M89" i="2"/>
  <c r="N39" i="3"/>
  <c r="M125" i="2"/>
  <c r="M121" i="2"/>
  <c r="M124" i="2"/>
  <c r="M123" i="2"/>
  <c r="O61" i="4"/>
  <c r="N87" i="2"/>
  <c r="N86" i="2"/>
  <c r="N93" i="2"/>
  <c r="N92" i="2"/>
  <c r="N94" i="2"/>
  <c r="N90" i="2"/>
  <c r="N89" i="2"/>
  <c r="O39" i="3"/>
  <c r="N124" i="2"/>
  <c r="N123" i="2"/>
  <c r="N121" i="2"/>
  <c r="N125" i="2"/>
  <c r="O86" i="2"/>
  <c r="O93" i="2"/>
  <c r="O87" i="2"/>
  <c r="O92" i="2"/>
  <c r="P31" i="3"/>
  <c r="O22" i="2" s="1"/>
  <c r="O94" i="2"/>
  <c r="O90" i="2"/>
  <c r="O89" i="2"/>
  <c r="P39" i="3"/>
  <c r="O123" i="2"/>
  <c r="O124" i="2"/>
  <c r="O121" i="2"/>
  <c r="O125" i="2"/>
  <c r="K93" i="2"/>
  <c r="K92" i="2"/>
  <c r="K86" i="2"/>
  <c r="K87" i="2"/>
  <c r="L31" i="3"/>
  <c r="K22" i="2" s="1"/>
  <c r="K89" i="2"/>
  <c r="K90" i="2"/>
  <c r="K94" i="2"/>
  <c r="L39" i="3"/>
  <c r="K125" i="2"/>
  <c r="K121" i="2"/>
  <c r="K123" i="2"/>
  <c r="K124" i="2"/>
  <c r="N180" i="2"/>
  <c r="N164" i="2"/>
  <c r="N163" i="2"/>
  <c r="N178" i="2"/>
  <c r="S484" i="2"/>
  <c r="S481" i="2"/>
  <c r="J164" i="2"/>
  <c r="J163" i="2"/>
  <c r="J178" i="2"/>
  <c r="J180" i="2"/>
  <c r="K178" i="2"/>
  <c r="K164" i="2"/>
  <c r="K180" i="2"/>
  <c r="K163" i="2"/>
  <c r="M180" i="2"/>
  <c r="M163" i="2"/>
  <c r="M178" i="2"/>
  <c r="M164" i="2"/>
  <c r="R484" i="2"/>
  <c r="R481" i="2"/>
  <c r="O164" i="2"/>
  <c r="O163" i="2"/>
  <c r="O178" i="2"/>
  <c r="O180" i="2"/>
  <c r="T484" i="2"/>
  <c r="T481" i="2"/>
  <c r="T546" i="2"/>
  <c r="O192" i="2"/>
  <c r="M200" i="2"/>
  <c r="M201" i="2"/>
  <c r="K192" i="2"/>
  <c r="L66" i="6"/>
  <c r="O201" i="2"/>
  <c r="O200" i="2"/>
  <c r="J201" i="2"/>
  <c r="J200" i="2"/>
  <c r="N201" i="2"/>
  <c r="N200" i="2"/>
  <c r="I201" i="2"/>
  <c r="I200" i="2"/>
  <c r="J192" i="2"/>
  <c r="N192" i="2"/>
  <c r="S546" i="2"/>
  <c r="M192" i="2"/>
  <c r="R546" i="2"/>
  <c r="K201" i="2"/>
  <c r="K200" i="2"/>
  <c r="P66" i="6"/>
  <c r="O191" i="2" s="1"/>
  <c r="K66" i="6"/>
  <c r="O66" i="6"/>
  <c r="N66" i="6"/>
  <c r="M191" i="2" s="1"/>
  <c r="N32" i="4"/>
  <c r="O18" i="3"/>
  <c r="O32" i="4"/>
  <c r="K115" i="2"/>
  <c r="O31" i="3"/>
  <c r="N31" i="3"/>
  <c r="P32" i="4"/>
  <c r="L18" i="3"/>
  <c r="L61" i="4"/>
  <c r="K13" i="2" s="1"/>
  <c r="N19" i="4"/>
  <c r="N18" i="3"/>
  <c r="O19" i="4"/>
  <c r="P18" i="3"/>
  <c r="P61" i="4"/>
  <c r="T416" i="2" s="1"/>
  <c r="P19" i="4"/>
  <c r="O116" i="2" l="1"/>
  <c r="P51" i="4"/>
  <c r="N116" i="2"/>
  <c r="O51" i="4"/>
  <c r="N130" i="2" s="1"/>
  <c r="M60" i="3"/>
  <c r="M61" i="4"/>
  <c r="Q498" i="2"/>
  <c r="Q480" i="2"/>
  <c r="C81" i="10"/>
  <c r="Q479" i="2"/>
  <c r="K83" i="2"/>
  <c r="K82" i="2"/>
  <c r="Q482" i="2"/>
  <c r="Q483" i="2"/>
  <c r="Q555" i="2"/>
  <c r="Q556" i="2"/>
  <c r="O115" i="2"/>
  <c r="N115" i="2"/>
  <c r="K116" i="2"/>
  <c r="P67" i="6"/>
  <c r="P70" i="6"/>
  <c r="M35" i="2"/>
  <c r="M34" i="2"/>
  <c r="O61" i="3"/>
  <c r="S416" i="2"/>
  <c r="M13" i="2"/>
  <c r="R416" i="2"/>
  <c r="Q534" i="2"/>
  <c r="Q491" i="2"/>
  <c r="Q490" i="2"/>
  <c r="Q533" i="2"/>
  <c r="Q532" i="2"/>
  <c r="Q592" i="2"/>
  <c r="Q591" i="2"/>
  <c r="Q593" i="2"/>
  <c r="Q550" i="2"/>
  <c r="Q549" i="2"/>
  <c r="M66" i="6"/>
  <c r="O18" i="2"/>
  <c r="O17" i="2"/>
  <c r="K17" i="2"/>
  <c r="T407" i="2"/>
  <c r="T410" i="2"/>
  <c r="T350" i="2"/>
  <c r="K130" i="2"/>
  <c r="K132" i="2"/>
  <c r="S410" i="2"/>
  <c r="S350" i="2"/>
  <c r="S407" i="2"/>
  <c r="O130" i="2"/>
  <c r="O132" i="2"/>
  <c r="K18" i="2"/>
  <c r="N13" i="2"/>
  <c r="M132" i="2"/>
  <c r="M130" i="2"/>
  <c r="O13" i="2"/>
  <c r="N132" i="2"/>
  <c r="R407" i="2"/>
  <c r="R350" i="2"/>
  <c r="R410" i="2"/>
  <c r="O70" i="6"/>
  <c r="N199" i="2" s="1"/>
  <c r="N193" i="2"/>
  <c r="N198" i="2"/>
  <c r="L67" i="6"/>
  <c r="J193" i="2"/>
  <c r="J198" i="2"/>
  <c r="K193" i="2"/>
  <c r="L70" i="6"/>
  <c r="K199" i="2" s="1"/>
  <c r="K198" i="2"/>
  <c r="O193" i="2"/>
  <c r="O198" i="2"/>
  <c r="N191" i="2"/>
  <c r="J191" i="2"/>
  <c r="K191" i="2"/>
  <c r="K70" i="6"/>
  <c r="J197" i="2" s="1"/>
  <c r="O67" i="6"/>
  <c r="N67" i="6"/>
  <c r="M193" i="2"/>
  <c r="M198" i="2"/>
  <c r="K197" i="2"/>
  <c r="N20" i="2"/>
  <c r="N14" i="2"/>
  <c r="N15" i="2"/>
  <c r="N33" i="2"/>
  <c r="N21" i="2"/>
  <c r="O15" i="2"/>
  <c r="O21" i="2"/>
  <c r="O33" i="2"/>
  <c r="O14" i="2"/>
  <c r="O20" i="2"/>
  <c r="O199" i="2"/>
  <c r="O197" i="2"/>
  <c r="N32" i="3"/>
  <c r="M17" i="2"/>
  <c r="M22" i="2"/>
  <c r="M18" i="2"/>
  <c r="N22" i="2"/>
  <c r="N18" i="2"/>
  <c r="N17" i="2"/>
  <c r="K21" i="2"/>
  <c r="K20" i="2"/>
  <c r="K15" i="2"/>
  <c r="K14" i="2"/>
  <c r="K33" i="2"/>
  <c r="R341" i="2"/>
  <c r="R344" i="2"/>
  <c r="M32" i="2"/>
  <c r="M31" i="2"/>
  <c r="M12" i="2"/>
  <c r="M11" i="2"/>
  <c r="M33" i="2"/>
  <c r="M21" i="2"/>
  <c r="M15" i="2"/>
  <c r="M20" i="2"/>
  <c r="M14" i="2"/>
  <c r="P61" i="3"/>
  <c r="H9" i="19" s="1"/>
  <c r="J9" i="19" s="1"/>
  <c r="N70" i="6"/>
  <c r="P19" i="3"/>
  <c r="O32" i="3"/>
  <c r="N19" i="3"/>
  <c r="P32" i="3"/>
  <c r="L61" i="3"/>
  <c r="O19" i="3"/>
  <c r="S341" i="2" l="1"/>
  <c r="G9" i="19"/>
  <c r="N131" i="2"/>
  <c r="O51" i="3"/>
  <c r="Q407" i="2"/>
  <c r="C12" i="9"/>
  <c r="Q350" i="2"/>
  <c r="C15" i="9"/>
  <c r="C33" i="9"/>
  <c r="M61" i="3"/>
  <c r="E9" i="19" s="1"/>
  <c r="Q416" i="2"/>
  <c r="Q410" i="2"/>
  <c r="L13" i="2"/>
  <c r="O131" i="2"/>
  <c r="P51" i="3"/>
  <c r="Q496" i="2"/>
  <c r="Q497" i="2"/>
  <c r="L83" i="2"/>
  <c r="L82" i="2"/>
  <c r="L33" i="2"/>
  <c r="N32" i="2"/>
  <c r="S344" i="2"/>
  <c r="N31" i="2"/>
  <c r="N11" i="2"/>
  <c r="N12" i="2"/>
  <c r="K34" i="2"/>
  <c r="K35" i="2"/>
  <c r="N35" i="2"/>
  <c r="N34" i="2"/>
  <c r="O34" i="2"/>
  <c r="O35" i="2"/>
  <c r="L193" i="2"/>
  <c r="L191" i="2"/>
  <c r="L198" i="2"/>
  <c r="M70" i="6"/>
  <c r="J199" i="2"/>
  <c r="P71" i="6"/>
  <c r="N197" i="2"/>
  <c r="L71" i="6"/>
  <c r="T341" i="2"/>
  <c r="O32" i="2"/>
  <c r="O12" i="2"/>
  <c r="T344" i="2"/>
  <c r="O31" i="2"/>
  <c r="O11" i="2"/>
  <c r="K12" i="2"/>
  <c r="K11" i="2"/>
  <c r="K32" i="2"/>
  <c r="K31" i="2"/>
  <c r="M199" i="2"/>
  <c r="M197" i="2"/>
  <c r="O71" i="6"/>
  <c r="N71" i="6"/>
  <c r="I65" i="3"/>
  <c r="C81" i="9" l="1"/>
  <c r="Q405" i="2"/>
  <c r="Q406" i="2"/>
  <c r="Q433" i="2"/>
  <c r="C12" i="8"/>
  <c r="Q415" i="2"/>
  <c r="C33" i="8"/>
  <c r="Q414" i="2"/>
  <c r="C15" i="8"/>
  <c r="Q409" i="2"/>
  <c r="Q408" i="2"/>
  <c r="L35" i="2"/>
  <c r="Q341" i="2"/>
  <c r="Q344" i="2"/>
  <c r="L12" i="2"/>
  <c r="L34" i="2"/>
  <c r="L31" i="2"/>
  <c r="L32" i="2"/>
  <c r="L11" i="2"/>
  <c r="H326" i="2"/>
  <c r="H264" i="2"/>
  <c r="H295" i="2"/>
  <c r="H233" i="2"/>
  <c r="I65" i="31"/>
  <c r="I65" i="30"/>
  <c r="I65" i="29"/>
  <c r="I65" i="20"/>
  <c r="L199" i="2"/>
  <c r="L197" i="2"/>
  <c r="H162" i="2"/>
  <c r="H114" i="2"/>
  <c r="H25" i="2"/>
  <c r="I26" i="2"/>
  <c r="H27" i="2"/>
  <c r="Q348" i="2" l="1"/>
  <c r="Q349" i="2"/>
  <c r="Q343" i="2"/>
  <c r="Q342" i="2"/>
  <c r="Q359" i="2"/>
  <c r="Q340" i="2"/>
  <c r="Q339" i="2"/>
  <c r="Q431" i="2"/>
  <c r="C81" i="8"/>
  <c r="Q432" i="2"/>
  <c r="H223" i="2"/>
  <c r="H254" i="2"/>
  <c r="H285" i="2"/>
  <c r="H316" i="2"/>
  <c r="I66" i="30"/>
  <c r="H286" i="2" s="1"/>
  <c r="H294" i="2"/>
  <c r="H293" i="2"/>
  <c r="I66" i="31"/>
  <c r="H317" i="2" s="1"/>
  <c r="H325" i="2"/>
  <c r="H324" i="2"/>
  <c r="H231" i="2"/>
  <c r="H232" i="2"/>
  <c r="I66" i="20"/>
  <c r="H224" i="2" s="1"/>
  <c r="H263" i="2"/>
  <c r="H262" i="2"/>
  <c r="I66" i="29"/>
  <c r="H255" i="2" s="1"/>
  <c r="I70" i="30"/>
  <c r="I71" i="30" s="1"/>
  <c r="I70" i="31"/>
  <c r="I71" i="31" s="1"/>
  <c r="I67" i="31"/>
  <c r="I70" i="29"/>
  <c r="I71" i="29" s="1"/>
  <c r="I47" i="3"/>
  <c r="K52" i="3"/>
  <c r="K50" i="3"/>
  <c r="I67" i="30" l="1"/>
  <c r="Q357" i="2"/>
  <c r="Q358" i="2"/>
  <c r="H315" i="2"/>
  <c r="H253" i="2"/>
  <c r="I67" i="29"/>
  <c r="H222" i="2"/>
  <c r="H284" i="2"/>
  <c r="I67" i="20"/>
  <c r="I70" i="20"/>
  <c r="I71" i="20" s="1"/>
  <c r="F89" i="10"/>
  <c r="E89" i="10"/>
  <c r="D89" i="10"/>
  <c r="F89" i="17"/>
  <c r="E89" i="17"/>
  <c r="D89" i="17"/>
  <c r="F89" i="9"/>
  <c r="E89" i="9"/>
  <c r="D89" i="9"/>
  <c r="J172" i="11"/>
  <c r="I172" i="11"/>
  <c r="T383" i="2" s="1"/>
  <c r="H172" i="11"/>
  <c r="S383" i="2" s="1"/>
  <c r="G172" i="11"/>
  <c r="R383" i="2" s="1"/>
  <c r="F172" i="11"/>
  <c r="E172" i="11"/>
  <c r="D172" i="11"/>
  <c r="J171" i="11"/>
  <c r="I171" i="11"/>
  <c r="H171" i="11"/>
  <c r="G171" i="11"/>
  <c r="F171" i="11"/>
  <c r="E171" i="11"/>
  <c r="D171" i="11"/>
  <c r="J170" i="11"/>
  <c r="I170" i="11"/>
  <c r="H170" i="11"/>
  <c r="G170" i="11"/>
  <c r="F170" i="11"/>
  <c r="E170" i="11"/>
  <c r="D170" i="11"/>
  <c r="J169" i="11"/>
  <c r="I169" i="11"/>
  <c r="H169" i="11"/>
  <c r="G169" i="11"/>
  <c r="F169" i="11"/>
  <c r="E169" i="11"/>
  <c r="D169" i="11"/>
  <c r="J168" i="11"/>
  <c r="I168" i="11"/>
  <c r="H168" i="11"/>
  <c r="G168" i="11"/>
  <c r="F168" i="11"/>
  <c r="E168" i="11"/>
  <c r="D168" i="11"/>
  <c r="Q383" i="2" l="1"/>
  <c r="Q381" i="2"/>
  <c r="Q629" i="2"/>
  <c r="Q627" i="2"/>
  <c r="S580" i="2"/>
  <c r="S579" i="2"/>
  <c r="R580" i="2"/>
  <c r="R579" i="2"/>
  <c r="T579" i="2"/>
  <c r="T580" i="2"/>
  <c r="R521" i="2"/>
  <c r="R520" i="2"/>
  <c r="S521" i="2"/>
  <c r="S520" i="2"/>
  <c r="T520" i="2"/>
  <c r="T521" i="2"/>
  <c r="T629" i="2"/>
  <c r="T627" i="2"/>
  <c r="R456" i="2"/>
  <c r="R455" i="2"/>
  <c r="S456" i="2"/>
  <c r="S455" i="2"/>
  <c r="T456" i="2"/>
  <c r="T455" i="2"/>
  <c r="S629" i="2"/>
  <c r="S627" i="2"/>
  <c r="R629" i="2"/>
  <c r="R627" i="2"/>
  <c r="D92" i="8" l="1"/>
  <c r="E92" i="8"/>
  <c r="F92" i="8"/>
  <c r="S394" i="2" l="1"/>
  <c r="R394" i="2"/>
  <c r="T394" i="2"/>
  <c r="D164" i="14"/>
  <c r="D163" i="14"/>
  <c r="D162" i="14"/>
  <c r="D146" i="14"/>
  <c r="J146" i="14" s="1"/>
  <c r="D145" i="14"/>
  <c r="J145" i="14" s="1"/>
  <c r="D144" i="14"/>
  <c r="D135" i="14"/>
  <c r="J135" i="14" s="1"/>
  <c r="D134" i="14"/>
  <c r="J134" i="14" s="1"/>
  <c r="D133" i="14"/>
  <c r="J133" i="14" s="1"/>
  <c r="J132" i="14"/>
  <c r="D124" i="14"/>
  <c r="D123" i="14"/>
  <c r="D122" i="14"/>
  <c r="D113" i="14"/>
  <c r="D112" i="14"/>
  <c r="D111" i="14"/>
  <c r="H110" i="14"/>
  <c r="I110" i="14" s="1"/>
  <c r="D96" i="14"/>
  <c r="D95" i="14"/>
  <c r="D94" i="14"/>
  <c r="J48" i="11"/>
  <c r="D46" i="11"/>
  <c r="D45" i="11"/>
  <c r="D41" i="14"/>
  <c r="D41" i="11" s="1"/>
  <c r="D40" i="14"/>
  <c r="D39" i="14"/>
  <c r="D164" i="13"/>
  <c r="D163" i="13"/>
  <c r="D162" i="13"/>
  <c r="D146" i="13"/>
  <c r="J146" i="13" s="1"/>
  <c r="D145" i="13"/>
  <c r="D144" i="13"/>
  <c r="D135" i="13"/>
  <c r="J135" i="13" s="1"/>
  <c r="D134" i="13"/>
  <c r="J134" i="13" s="1"/>
  <c r="D133" i="13"/>
  <c r="D124" i="13"/>
  <c r="D123" i="13"/>
  <c r="D122" i="13"/>
  <c r="D113" i="13"/>
  <c r="D112" i="13"/>
  <c r="D111" i="13"/>
  <c r="D96" i="13"/>
  <c r="D95" i="13"/>
  <c r="D94" i="13"/>
  <c r="D85" i="10"/>
  <c r="D69" i="13"/>
  <c r="J69" i="13" s="1"/>
  <c r="D68" i="13"/>
  <c r="J68" i="13" s="1"/>
  <c r="D67" i="13"/>
  <c r="I67" i="13" s="1"/>
  <c r="I70" i="13" s="1"/>
  <c r="D62" i="13"/>
  <c r="J62" i="13" s="1"/>
  <c r="D61" i="13"/>
  <c r="J61" i="13" s="1"/>
  <c r="D60" i="13"/>
  <c r="I60" i="13" s="1"/>
  <c r="I63" i="13" s="1"/>
  <c r="D55" i="13"/>
  <c r="J55" i="13" s="1"/>
  <c r="D54" i="13"/>
  <c r="J54" i="13" s="1"/>
  <c r="D53" i="13"/>
  <c r="D34" i="13"/>
  <c r="D33" i="13"/>
  <c r="D32" i="13"/>
  <c r="D16" i="13"/>
  <c r="D15" i="13"/>
  <c r="D14" i="13"/>
  <c r="D164" i="12"/>
  <c r="D163" i="12"/>
  <c r="D162" i="12"/>
  <c r="D146" i="12"/>
  <c r="J146" i="12" s="1"/>
  <c r="D145" i="12"/>
  <c r="J145" i="12" s="1"/>
  <c r="D144" i="12"/>
  <c r="D135" i="12"/>
  <c r="D134" i="12"/>
  <c r="J133" i="12"/>
  <c r="J132" i="12"/>
  <c r="D124" i="12"/>
  <c r="D123" i="12"/>
  <c r="D122" i="12"/>
  <c r="D113" i="12"/>
  <c r="D112" i="12"/>
  <c r="D111" i="12"/>
  <c r="D96" i="12"/>
  <c r="D95" i="12"/>
  <c r="D94" i="12"/>
  <c r="D85" i="12"/>
  <c r="D84" i="12"/>
  <c r="D83" i="12"/>
  <c r="D69" i="12"/>
  <c r="J69" i="12" s="1"/>
  <c r="D68" i="12"/>
  <c r="D67" i="12"/>
  <c r="I67" i="12" s="1"/>
  <c r="D62" i="12"/>
  <c r="J62" i="12" s="1"/>
  <c r="D61" i="12"/>
  <c r="J61" i="12" s="1"/>
  <c r="D60" i="12"/>
  <c r="I60" i="12" s="1"/>
  <c r="D55" i="12"/>
  <c r="D54" i="12"/>
  <c r="J54" i="12" s="1"/>
  <c r="D53" i="12"/>
  <c r="I53" i="12" s="1"/>
  <c r="D52" i="11"/>
  <c r="D34" i="12"/>
  <c r="D33" i="12"/>
  <c r="D32" i="12"/>
  <c r="D27" i="12"/>
  <c r="D26" i="12"/>
  <c r="D25" i="12"/>
  <c r="D16" i="12"/>
  <c r="D15" i="12"/>
  <c r="D14" i="12"/>
  <c r="H164" i="11"/>
  <c r="G164" i="11"/>
  <c r="F164" i="11"/>
  <c r="E164" i="11"/>
  <c r="I163" i="11"/>
  <c r="G163" i="11"/>
  <c r="F163" i="11"/>
  <c r="E163" i="11"/>
  <c r="I162" i="11"/>
  <c r="H162" i="11"/>
  <c r="F162" i="11"/>
  <c r="E162" i="11"/>
  <c r="G161" i="11"/>
  <c r="F161" i="11"/>
  <c r="E161" i="11"/>
  <c r="J158" i="11"/>
  <c r="I158" i="11"/>
  <c r="H158" i="11"/>
  <c r="G158" i="11"/>
  <c r="F158" i="11"/>
  <c r="E158" i="11"/>
  <c r="D158" i="11"/>
  <c r="J157" i="11"/>
  <c r="I157" i="11"/>
  <c r="H157" i="11"/>
  <c r="G157" i="11"/>
  <c r="F157" i="11"/>
  <c r="E157" i="11"/>
  <c r="D157" i="11"/>
  <c r="J156" i="11"/>
  <c r="I156" i="11"/>
  <c r="H156" i="11"/>
  <c r="G156" i="11"/>
  <c r="F156" i="11"/>
  <c r="E156" i="11"/>
  <c r="D156" i="11"/>
  <c r="J155" i="11"/>
  <c r="I155" i="11"/>
  <c r="H155" i="11"/>
  <c r="G155" i="11"/>
  <c r="F155" i="11"/>
  <c r="E155" i="11"/>
  <c r="D155" i="11"/>
  <c r="J154" i="11"/>
  <c r="I154" i="11"/>
  <c r="H154" i="11"/>
  <c r="G154" i="11"/>
  <c r="F154" i="11"/>
  <c r="E154" i="11"/>
  <c r="D154" i="11"/>
  <c r="J152" i="11"/>
  <c r="I152" i="11"/>
  <c r="H152" i="11"/>
  <c r="G152" i="11"/>
  <c r="F152" i="11"/>
  <c r="E152" i="11"/>
  <c r="D152" i="11"/>
  <c r="J151" i="11"/>
  <c r="I151" i="11"/>
  <c r="H151" i="11"/>
  <c r="G151" i="11"/>
  <c r="F151" i="11"/>
  <c r="E151" i="11"/>
  <c r="D151" i="11"/>
  <c r="J150" i="11"/>
  <c r="I150" i="11"/>
  <c r="H150" i="11"/>
  <c r="G150" i="11"/>
  <c r="F150" i="11"/>
  <c r="E150" i="11"/>
  <c r="D150" i="11"/>
  <c r="J149" i="11"/>
  <c r="I149" i="11"/>
  <c r="H149" i="11"/>
  <c r="G149" i="11"/>
  <c r="F149" i="11"/>
  <c r="E149" i="11"/>
  <c r="D149" i="11"/>
  <c r="I146" i="11"/>
  <c r="H146" i="11"/>
  <c r="G146" i="11"/>
  <c r="F146" i="11"/>
  <c r="E146" i="11"/>
  <c r="I145" i="11"/>
  <c r="H145" i="11"/>
  <c r="G145" i="11"/>
  <c r="F145" i="11"/>
  <c r="E145" i="11"/>
  <c r="J144" i="11"/>
  <c r="H144" i="11"/>
  <c r="G144" i="11"/>
  <c r="F144" i="11"/>
  <c r="E144" i="11"/>
  <c r="J143" i="11"/>
  <c r="I143" i="11"/>
  <c r="F143" i="11"/>
  <c r="E143" i="11"/>
  <c r="I140" i="11"/>
  <c r="H140" i="11"/>
  <c r="G140" i="11"/>
  <c r="F140" i="11"/>
  <c r="E140" i="11"/>
  <c r="D140" i="11"/>
  <c r="I139" i="11"/>
  <c r="H139" i="11"/>
  <c r="G139" i="11"/>
  <c r="F139" i="11"/>
  <c r="E139" i="11"/>
  <c r="D139" i="11"/>
  <c r="I138" i="11"/>
  <c r="H138" i="11"/>
  <c r="G138" i="11"/>
  <c r="F138" i="11"/>
  <c r="E138" i="11"/>
  <c r="D138" i="11"/>
  <c r="I135" i="11"/>
  <c r="H135" i="11"/>
  <c r="G135" i="11"/>
  <c r="F135" i="11"/>
  <c r="E135" i="11"/>
  <c r="I134" i="11"/>
  <c r="H134" i="11"/>
  <c r="G134" i="11"/>
  <c r="F134" i="11"/>
  <c r="E134" i="11"/>
  <c r="I133" i="11"/>
  <c r="H133" i="11"/>
  <c r="F133" i="11"/>
  <c r="E133" i="11"/>
  <c r="I132" i="11"/>
  <c r="H132" i="11"/>
  <c r="G132" i="11"/>
  <c r="F132" i="11"/>
  <c r="E132" i="11"/>
  <c r="I129" i="11"/>
  <c r="H129" i="11"/>
  <c r="G129" i="11"/>
  <c r="F129" i="11"/>
  <c r="E129" i="11"/>
  <c r="D129" i="11"/>
  <c r="I128" i="11"/>
  <c r="H128" i="11"/>
  <c r="G128" i="11"/>
  <c r="F128" i="11"/>
  <c r="E128" i="11"/>
  <c r="D128" i="11"/>
  <c r="I127" i="11"/>
  <c r="H127" i="11"/>
  <c r="G127" i="11"/>
  <c r="F127" i="11"/>
  <c r="E127" i="11"/>
  <c r="D127" i="11"/>
  <c r="I124" i="11"/>
  <c r="H124" i="11"/>
  <c r="G124" i="11"/>
  <c r="F124" i="11"/>
  <c r="E124" i="11"/>
  <c r="I123" i="11"/>
  <c r="H123" i="11"/>
  <c r="G123" i="11"/>
  <c r="F123" i="11"/>
  <c r="E123" i="11"/>
  <c r="H122" i="11"/>
  <c r="G122" i="11"/>
  <c r="F122" i="11"/>
  <c r="E122" i="11"/>
  <c r="I121" i="11"/>
  <c r="G121" i="11"/>
  <c r="F121" i="11"/>
  <c r="E121" i="11"/>
  <c r="I118" i="11"/>
  <c r="H118" i="11"/>
  <c r="G118" i="11"/>
  <c r="E118" i="11"/>
  <c r="D118" i="11"/>
  <c r="I117" i="11"/>
  <c r="H117" i="11"/>
  <c r="G117" i="11"/>
  <c r="F117" i="11"/>
  <c r="D117" i="11"/>
  <c r="I116" i="11"/>
  <c r="H116" i="11"/>
  <c r="G116" i="11"/>
  <c r="F116" i="11"/>
  <c r="E116" i="11"/>
  <c r="D116" i="11"/>
  <c r="I113" i="11"/>
  <c r="H113" i="11"/>
  <c r="G113" i="11"/>
  <c r="F113" i="11"/>
  <c r="E113" i="11"/>
  <c r="I112" i="11"/>
  <c r="H112" i="11"/>
  <c r="G112" i="11"/>
  <c r="F112" i="11"/>
  <c r="E112" i="11"/>
  <c r="J111" i="11"/>
  <c r="H111" i="11"/>
  <c r="G111" i="11"/>
  <c r="F111" i="11"/>
  <c r="E111" i="11"/>
  <c r="J110" i="11"/>
  <c r="G110" i="11"/>
  <c r="F110" i="11"/>
  <c r="E110" i="11"/>
  <c r="I101" i="11"/>
  <c r="H101" i="11"/>
  <c r="G101" i="11"/>
  <c r="E101" i="11"/>
  <c r="D101" i="11"/>
  <c r="I100" i="11"/>
  <c r="H100" i="11"/>
  <c r="G100" i="11"/>
  <c r="F100" i="11"/>
  <c r="D100" i="11"/>
  <c r="I99" i="11"/>
  <c r="H99" i="11"/>
  <c r="G99" i="11"/>
  <c r="F99" i="11"/>
  <c r="E99" i="11"/>
  <c r="D99" i="11"/>
  <c r="I96" i="11"/>
  <c r="H96" i="11"/>
  <c r="G96" i="11"/>
  <c r="F96" i="11"/>
  <c r="E96" i="11"/>
  <c r="I95" i="11"/>
  <c r="H95" i="11"/>
  <c r="G95" i="11"/>
  <c r="F95" i="11"/>
  <c r="E95" i="11"/>
  <c r="J94" i="11"/>
  <c r="H94" i="11"/>
  <c r="G94" i="11"/>
  <c r="F94" i="11"/>
  <c r="E94" i="11"/>
  <c r="J93" i="11"/>
  <c r="I93" i="11"/>
  <c r="G93" i="11"/>
  <c r="F93" i="11"/>
  <c r="E93" i="11"/>
  <c r="J91" i="11"/>
  <c r="J90" i="11"/>
  <c r="I90" i="11"/>
  <c r="H90" i="11"/>
  <c r="G90" i="11"/>
  <c r="F90" i="11"/>
  <c r="E90" i="11"/>
  <c r="D90" i="11"/>
  <c r="J89" i="11"/>
  <c r="I89" i="11"/>
  <c r="H89" i="11"/>
  <c r="G89" i="11"/>
  <c r="F89" i="11"/>
  <c r="E89" i="11"/>
  <c r="D89" i="11"/>
  <c r="J88" i="11"/>
  <c r="I88" i="11"/>
  <c r="H88" i="11"/>
  <c r="G88" i="11"/>
  <c r="F88" i="11"/>
  <c r="E88" i="11"/>
  <c r="D88" i="11"/>
  <c r="I85" i="11"/>
  <c r="H85" i="11"/>
  <c r="G85" i="11"/>
  <c r="F85" i="11"/>
  <c r="E85" i="11"/>
  <c r="I84" i="11"/>
  <c r="H84" i="11"/>
  <c r="G84" i="11"/>
  <c r="F84" i="11"/>
  <c r="E84" i="11"/>
  <c r="J83" i="11"/>
  <c r="H83" i="11"/>
  <c r="G83" i="11"/>
  <c r="F83" i="11"/>
  <c r="E83" i="11"/>
  <c r="J79" i="11"/>
  <c r="I79" i="11"/>
  <c r="H79" i="11"/>
  <c r="G79" i="11"/>
  <c r="E79" i="11"/>
  <c r="D79" i="11"/>
  <c r="J78" i="11"/>
  <c r="I78" i="11"/>
  <c r="H78" i="11"/>
  <c r="G78" i="11"/>
  <c r="F78" i="11"/>
  <c r="D78" i="11"/>
  <c r="I77" i="11"/>
  <c r="H77" i="11"/>
  <c r="G77" i="11"/>
  <c r="F77" i="11"/>
  <c r="E77" i="11"/>
  <c r="D77" i="11"/>
  <c r="I74" i="11"/>
  <c r="H74" i="11"/>
  <c r="G74" i="11"/>
  <c r="E74" i="11"/>
  <c r="D74" i="11"/>
  <c r="I73" i="11"/>
  <c r="H73" i="11"/>
  <c r="G73" i="11"/>
  <c r="F73" i="11"/>
  <c r="D73" i="11"/>
  <c r="I72" i="11"/>
  <c r="H72" i="11"/>
  <c r="F72" i="11"/>
  <c r="E72" i="11"/>
  <c r="D72" i="11"/>
  <c r="F70" i="11"/>
  <c r="E70" i="11"/>
  <c r="I69" i="11"/>
  <c r="H69" i="11"/>
  <c r="G69" i="11"/>
  <c r="F69" i="11"/>
  <c r="E69" i="11"/>
  <c r="I68" i="11"/>
  <c r="H68" i="11"/>
  <c r="G68" i="11"/>
  <c r="F68" i="11"/>
  <c r="E68" i="11"/>
  <c r="H67" i="11"/>
  <c r="G67" i="11"/>
  <c r="F67" i="11"/>
  <c r="E67" i="11"/>
  <c r="I66" i="11"/>
  <c r="G66" i="11"/>
  <c r="F66" i="11"/>
  <c r="E66" i="11"/>
  <c r="F63" i="11"/>
  <c r="E63" i="11"/>
  <c r="I62" i="11"/>
  <c r="H62" i="11"/>
  <c r="G62" i="11"/>
  <c r="F62" i="11"/>
  <c r="E62" i="11"/>
  <c r="I61" i="11"/>
  <c r="H61" i="11"/>
  <c r="G61" i="11"/>
  <c r="F61" i="11"/>
  <c r="E61" i="11"/>
  <c r="H60" i="11"/>
  <c r="G60" i="11"/>
  <c r="F60" i="11"/>
  <c r="E60" i="11"/>
  <c r="I59" i="11"/>
  <c r="G59" i="11"/>
  <c r="F59" i="11"/>
  <c r="E59" i="11"/>
  <c r="F56" i="11"/>
  <c r="E56" i="11"/>
  <c r="I55" i="11"/>
  <c r="H55" i="11"/>
  <c r="G55" i="11"/>
  <c r="F55" i="11"/>
  <c r="E55" i="11"/>
  <c r="I54" i="11"/>
  <c r="H54" i="11"/>
  <c r="G54" i="11"/>
  <c r="F54" i="11"/>
  <c r="E54" i="11"/>
  <c r="H53" i="11"/>
  <c r="G53" i="11"/>
  <c r="F53" i="11"/>
  <c r="E53" i="11"/>
  <c r="I52" i="11"/>
  <c r="G52" i="11"/>
  <c r="F52" i="11"/>
  <c r="E52" i="11"/>
  <c r="F49" i="11"/>
  <c r="E49" i="11"/>
  <c r="I48" i="11"/>
  <c r="H48" i="11"/>
  <c r="G48" i="11"/>
  <c r="F48" i="11"/>
  <c r="E48" i="11"/>
  <c r="I47" i="11"/>
  <c r="H47" i="11"/>
  <c r="G47" i="11"/>
  <c r="F47" i="11"/>
  <c r="E47" i="11"/>
  <c r="D47" i="11"/>
  <c r="J46" i="11"/>
  <c r="H46" i="11"/>
  <c r="G46" i="11"/>
  <c r="F46" i="11"/>
  <c r="E46" i="11"/>
  <c r="J45" i="11"/>
  <c r="I45" i="11"/>
  <c r="G45" i="11"/>
  <c r="F45" i="11"/>
  <c r="E45" i="11"/>
  <c r="F42" i="11"/>
  <c r="E42" i="11"/>
  <c r="I41" i="11"/>
  <c r="H41" i="11"/>
  <c r="G41" i="11"/>
  <c r="F41" i="11"/>
  <c r="E41" i="11"/>
  <c r="I40" i="11"/>
  <c r="H40" i="11"/>
  <c r="G40" i="11"/>
  <c r="F40" i="11"/>
  <c r="E40" i="11"/>
  <c r="J39" i="11"/>
  <c r="H39" i="11"/>
  <c r="G39" i="11"/>
  <c r="F39" i="11"/>
  <c r="E39" i="11"/>
  <c r="J38" i="11"/>
  <c r="I38" i="11"/>
  <c r="G38" i="11"/>
  <c r="F38" i="11"/>
  <c r="E38" i="11"/>
  <c r="F35" i="11"/>
  <c r="E35" i="11"/>
  <c r="I34" i="11"/>
  <c r="H34" i="11"/>
  <c r="G34" i="11"/>
  <c r="F34" i="11"/>
  <c r="E34" i="11"/>
  <c r="I33" i="11"/>
  <c r="H33" i="11"/>
  <c r="G33" i="11"/>
  <c r="F33" i="11"/>
  <c r="E33" i="11"/>
  <c r="H32" i="11"/>
  <c r="G32" i="11"/>
  <c r="F32" i="11"/>
  <c r="E32" i="11"/>
  <c r="I31" i="11"/>
  <c r="G31" i="11"/>
  <c r="F31" i="11"/>
  <c r="E31" i="11"/>
  <c r="I27" i="11"/>
  <c r="H27" i="11"/>
  <c r="G27" i="11"/>
  <c r="F27" i="11"/>
  <c r="E27" i="11"/>
  <c r="I26" i="11"/>
  <c r="H26" i="11"/>
  <c r="G26" i="11"/>
  <c r="F26" i="11"/>
  <c r="E26" i="11"/>
  <c r="J25" i="11"/>
  <c r="H25" i="11"/>
  <c r="G25" i="11"/>
  <c r="F25" i="11"/>
  <c r="E25" i="11"/>
  <c r="J24" i="11"/>
  <c r="G24" i="11"/>
  <c r="F24" i="11"/>
  <c r="E24" i="11"/>
  <c r="D24" i="11"/>
  <c r="I21" i="11"/>
  <c r="H21" i="11"/>
  <c r="G21" i="11"/>
  <c r="F21" i="11"/>
  <c r="E21" i="11"/>
  <c r="D21" i="11"/>
  <c r="I20" i="11"/>
  <c r="H20" i="11"/>
  <c r="G20" i="11"/>
  <c r="F20" i="11"/>
  <c r="D20" i="11"/>
  <c r="I19" i="11"/>
  <c r="H19" i="11"/>
  <c r="G19" i="11"/>
  <c r="F19" i="11"/>
  <c r="E19" i="11"/>
  <c r="D19" i="11"/>
  <c r="I16" i="11"/>
  <c r="H16" i="11"/>
  <c r="G16" i="11"/>
  <c r="F16" i="11"/>
  <c r="E16" i="11"/>
  <c r="I15" i="11"/>
  <c r="H15" i="11"/>
  <c r="G15" i="11"/>
  <c r="F15" i="11"/>
  <c r="E15" i="11"/>
  <c r="J14" i="11"/>
  <c r="H14" i="11"/>
  <c r="G14" i="11"/>
  <c r="F14" i="11"/>
  <c r="E14" i="11"/>
  <c r="J13" i="11"/>
  <c r="I13" i="11"/>
  <c r="G13" i="11"/>
  <c r="F13" i="11"/>
  <c r="E13" i="11"/>
  <c r="J11" i="11"/>
  <c r="I11" i="11"/>
  <c r="H11" i="11"/>
  <c r="G11" i="11"/>
  <c r="J10" i="11"/>
  <c r="I10" i="11"/>
  <c r="H10" i="11"/>
  <c r="G10" i="11"/>
  <c r="E10" i="11"/>
  <c r="D10" i="11"/>
  <c r="J9" i="11"/>
  <c r="I9" i="11"/>
  <c r="H9" i="11"/>
  <c r="G9" i="11"/>
  <c r="F9" i="11"/>
  <c r="D9" i="11"/>
  <c r="F85" i="17"/>
  <c r="E85" i="17"/>
  <c r="D85" i="17"/>
  <c r="F83" i="17"/>
  <c r="E83" i="17"/>
  <c r="D83" i="17"/>
  <c r="A5" i="17"/>
  <c r="A4" i="17"/>
  <c r="C4" i="14" s="1"/>
  <c r="A3" i="17"/>
  <c r="C3" i="14" s="1"/>
  <c r="F83" i="10"/>
  <c r="E83" i="10"/>
  <c r="D83" i="10"/>
  <c r="A5" i="10"/>
  <c r="A4" i="10"/>
  <c r="C4" i="13" s="1"/>
  <c r="A3" i="10"/>
  <c r="C3" i="13" s="1"/>
  <c r="A5" i="9"/>
  <c r="A4" i="9"/>
  <c r="C4" i="12" s="1"/>
  <c r="A3" i="9"/>
  <c r="C3" i="12" s="1"/>
  <c r="F89" i="8"/>
  <c r="E89" i="8"/>
  <c r="D89" i="8"/>
  <c r="F38" i="8"/>
  <c r="E38" i="8"/>
  <c r="D38" i="8"/>
  <c r="R393" i="2" s="1"/>
  <c r="A5" i="8"/>
  <c r="C5" i="11" s="1"/>
  <c r="A4" i="8"/>
  <c r="C4" i="11" s="1"/>
  <c r="A3" i="8"/>
  <c r="C3" i="11" s="1"/>
  <c r="G165" i="14"/>
  <c r="R584" i="2" s="1"/>
  <c r="F165" i="14"/>
  <c r="E165" i="14"/>
  <c r="I141" i="14"/>
  <c r="H141" i="14"/>
  <c r="G141" i="14"/>
  <c r="G147" i="14" s="1"/>
  <c r="F141" i="14"/>
  <c r="F147" i="14" s="1"/>
  <c r="E141" i="14"/>
  <c r="D141" i="14"/>
  <c r="I130" i="14"/>
  <c r="I136" i="14" s="1"/>
  <c r="H130" i="14"/>
  <c r="H136" i="14" s="1"/>
  <c r="G130" i="14"/>
  <c r="G136" i="14" s="1"/>
  <c r="F130" i="14"/>
  <c r="F136" i="14" s="1"/>
  <c r="E130" i="14"/>
  <c r="E136" i="14" s="1"/>
  <c r="D130" i="14"/>
  <c r="J129" i="14"/>
  <c r="J128" i="14"/>
  <c r="J127" i="14"/>
  <c r="I119" i="14"/>
  <c r="H119" i="14"/>
  <c r="G119" i="14"/>
  <c r="G125" i="14" s="1"/>
  <c r="D119" i="14"/>
  <c r="F119" i="14"/>
  <c r="F125" i="14" s="1"/>
  <c r="E119" i="14"/>
  <c r="J116" i="14"/>
  <c r="I111" i="14"/>
  <c r="I102" i="14"/>
  <c r="H102" i="14"/>
  <c r="G102" i="14"/>
  <c r="D102" i="14"/>
  <c r="F102" i="14"/>
  <c r="E102" i="14"/>
  <c r="J99" i="14"/>
  <c r="I91" i="14"/>
  <c r="H91" i="14"/>
  <c r="G91" i="14"/>
  <c r="F91" i="14"/>
  <c r="F97" i="14" s="1"/>
  <c r="E91" i="14"/>
  <c r="E97" i="14" s="1"/>
  <c r="D91" i="14"/>
  <c r="I75" i="14"/>
  <c r="H75" i="14"/>
  <c r="D75" i="14"/>
  <c r="J74" i="14"/>
  <c r="E75" i="14"/>
  <c r="G75" i="14"/>
  <c r="J17" i="14"/>
  <c r="I17" i="14"/>
  <c r="T560" i="2" s="1"/>
  <c r="H17" i="14"/>
  <c r="S560" i="2" s="1"/>
  <c r="G17" i="14"/>
  <c r="F10" i="14"/>
  <c r="F11" i="14" s="1"/>
  <c r="E9" i="14"/>
  <c r="E11" i="14" s="1"/>
  <c r="E183" i="14" s="1"/>
  <c r="G165" i="13"/>
  <c r="R525" i="2" s="1"/>
  <c r="F165" i="13"/>
  <c r="E165" i="13"/>
  <c r="I141" i="13"/>
  <c r="H141" i="13"/>
  <c r="G141" i="13"/>
  <c r="F141" i="13"/>
  <c r="F147" i="13" s="1"/>
  <c r="E141" i="13"/>
  <c r="J139" i="13"/>
  <c r="J138" i="13"/>
  <c r="I130" i="13"/>
  <c r="I136" i="13" s="1"/>
  <c r="H130" i="13"/>
  <c r="H136" i="13" s="1"/>
  <c r="G130" i="13"/>
  <c r="G136" i="13" s="1"/>
  <c r="F130" i="13"/>
  <c r="F136" i="13" s="1"/>
  <c r="E130" i="13"/>
  <c r="E136" i="13" s="1"/>
  <c r="D130" i="13"/>
  <c r="J129" i="13"/>
  <c r="J128" i="13"/>
  <c r="J127" i="13"/>
  <c r="J121" i="13"/>
  <c r="I119" i="13"/>
  <c r="H119" i="13"/>
  <c r="G119" i="13"/>
  <c r="G125" i="13" s="1"/>
  <c r="F119" i="13"/>
  <c r="F125" i="13" s="1"/>
  <c r="D119" i="13"/>
  <c r="J118" i="13"/>
  <c r="J117" i="13"/>
  <c r="J116" i="13"/>
  <c r="I102" i="13"/>
  <c r="H102" i="13"/>
  <c r="G102" i="13"/>
  <c r="F102" i="13"/>
  <c r="D102" i="13"/>
  <c r="J101" i="13"/>
  <c r="E102" i="13"/>
  <c r="J99" i="13"/>
  <c r="I91" i="13"/>
  <c r="H91" i="13"/>
  <c r="G91" i="13"/>
  <c r="F91" i="13"/>
  <c r="F97" i="13" s="1"/>
  <c r="E91" i="13"/>
  <c r="E97" i="13" s="1"/>
  <c r="Q513" i="2" s="1"/>
  <c r="D91" i="13"/>
  <c r="E85" i="10"/>
  <c r="I75" i="13"/>
  <c r="H75" i="13"/>
  <c r="F75" i="13"/>
  <c r="D75" i="13"/>
  <c r="J74" i="13"/>
  <c r="G75" i="13"/>
  <c r="H13" i="13"/>
  <c r="H17" i="13" s="1"/>
  <c r="S501" i="2" s="1"/>
  <c r="D11" i="13"/>
  <c r="F10" i="13"/>
  <c r="F11" i="13" s="1"/>
  <c r="E9" i="13"/>
  <c r="E11" i="13" s="1"/>
  <c r="G165" i="12"/>
  <c r="R460" i="2" s="1"/>
  <c r="F165" i="12"/>
  <c r="Q460" i="2" s="1"/>
  <c r="I141" i="12"/>
  <c r="H141" i="12"/>
  <c r="G141" i="12"/>
  <c r="G147" i="12" s="1"/>
  <c r="G147" i="11" s="1"/>
  <c r="F147" i="12"/>
  <c r="I130" i="12"/>
  <c r="I136" i="12" s="1"/>
  <c r="H130" i="12"/>
  <c r="H136" i="12" s="1"/>
  <c r="G130" i="12"/>
  <c r="G136" i="12" s="1"/>
  <c r="D88" i="9" s="1"/>
  <c r="F130" i="12"/>
  <c r="E130" i="12"/>
  <c r="E136" i="12" s="1"/>
  <c r="J129" i="12"/>
  <c r="J128" i="12"/>
  <c r="J127" i="12"/>
  <c r="I119" i="12"/>
  <c r="H119" i="12"/>
  <c r="G119" i="12"/>
  <c r="G125" i="12" s="1"/>
  <c r="F119" i="12"/>
  <c r="F125" i="12" s="1"/>
  <c r="D119" i="12"/>
  <c r="J118" i="12"/>
  <c r="J117" i="12"/>
  <c r="J116" i="12"/>
  <c r="I111" i="12"/>
  <c r="E114" i="12"/>
  <c r="I102" i="12"/>
  <c r="H102" i="12"/>
  <c r="G102" i="12"/>
  <c r="F102" i="12"/>
  <c r="J101" i="12"/>
  <c r="J100" i="12"/>
  <c r="J99" i="12"/>
  <c r="H91" i="12"/>
  <c r="G91" i="12"/>
  <c r="F91" i="12"/>
  <c r="F97" i="12" s="1"/>
  <c r="E91" i="12"/>
  <c r="E97" i="12" s="1"/>
  <c r="D91" i="12"/>
  <c r="D97" i="12" s="1"/>
  <c r="I80" i="12"/>
  <c r="I80" i="11" s="1"/>
  <c r="H80" i="12"/>
  <c r="H80" i="11" s="1"/>
  <c r="G80" i="12"/>
  <c r="G80" i="11" s="1"/>
  <c r="D80" i="12"/>
  <c r="D80" i="11" s="1"/>
  <c r="F79" i="12"/>
  <c r="F79" i="11" s="1"/>
  <c r="E78" i="12"/>
  <c r="E80" i="12" s="1"/>
  <c r="E86" i="12" s="1"/>
  <c r="J77" i="12"/>
  <c r="I75" i="12"/>
  <c r="H75" i="12"/>
  <c r="F75" i="12"/>
  <c r="D75" i="12"/>
  <c r="J74" i="12"/>
  <c r="E75" i="12"/>
  <c r="G75" i="12"/>
  <c r="I22" i="12"/>
  <c r="H22" i="12"/>
  <c r="G22" i="12"/>
  <c r="F22" i="12"/>
  <c r="F28" i="12" s="1"/>
  <c r="D22" i="12"/>
  <c r="D22" i="11" s="1"/>
  <c r="J21" i="12"/>
  <c r="J21" i="11" s="1"/>
  <c r="E22" i="12"/>
  <c r="E28" i="12" s="1"/>
  <c r="J19" i="12"/>
  <c r="J19" i="11" s="1"/>
  <c r="G17" i="12"/>
  <c r="D11" i="12"/>
  <c r="F10" i="12"/>
  <c r="F11" i="12" s="1"/>
  <c r="E9" i="12"/>
  <c r="E11" i="12" s="1"/>
  <c r="J133" i="13" l="1"/>
  <c r="D133" i="11"/>
  <c r="R436" i="2"/>
  <c r="I22" i="11"/>
  <c r="D104" i="13"/>
  <c r="F183" i="13"/>
  <c r="R560" i="2"/>
  <c r="Q525" i="2"/>
  <c r="R636" i="2"/>
  <c r="R635" i="2"/>
  <c r="R640" i="2"/>
  <c r="I14" i="12"/>
  <c r="I17" i="12" s="1"/>
  <c r="R641" i="2"/>
  <c r="R643" i="2"/>
  <c r="R638" i="2"/>
  <c r="S649" i="2"/>
  <c r="S647" i="2"/>
  <c r="T644" i="2"/>
  <c r="T646" i="2"/>
  <c r="S653" i="2"/>
  <c r="S655" i="2"/>
  <c r="T658" i="2"/>
  <c r="T656" i="2"/>
  <c r="T659" i="2"/>
  <c r="T661" i="2"/>
  <c r="R675" i="2"/>
  <c r="R677" i="2"/>
  <c r="I111" i="13"/>
  <c r="I111" i="11" s="1"/>
  <c r="R683" i="2"/>
  <c r="R681" i="2"/>
  <c r="R690" i="2"/>
  <c r="R692" i="2"/>
  <c r="S702" i="2"/>
  <c r="S706" i="2"/>
  <c r="S708" i="2"/>
  <c r="S700" i="2"/>
  <c r="T721" i="2"/>
  <c r="T723" i="2"/>
  <c r="S640" i="2"/>
  <c r="S641" i="2"/>
  <c r="S643" i="2"/>
  <c r="S638" i="2"/>
  <c r="D27" i="11"/>
  <c r="T612" i="2" s="1"/>
  <c r="T649" i="2"/>
  <c r="T647" i="2"/>
  <c r="T653" i="2"/>
  <c r="T655" i="2"/>
  <c r="R652" i="2"/>
  <c r="R650" i="2"/>
  <c r="I14" i="13"/>
  <c r="I17" i="13" s="1"/>
  <c r="T501" i="2" s="1"/>
  <c r="R671" i="2"/>
  <c r="R674" i="2"/>
  <c r="R672" i="2"/>
  <c r="R669" i="2"/>
  <c r="S675" i="2"/>
  <c r="S677" i="2"/>
  <c r="R689" i="2"/>
  <c r="R687" i="2"/>
  <c r="J112" i="13"/>
  <c r="S683" i="2"/>
  <c r="S681" i="2"/>
  <c r="S690" i="2"/>
  <c r="S692" i="2"/>
  <c r="T702" i="2"/>
  <c r="T708" i="2"/>
  <c r="T706" i="2"/>
  <c r="T700" i="2"/>
  <c r="R718" i="2"/>
  <c r="R720" i="2"/>
  <c r="R714" i="2"/>
  <c r="R712" i="2"/>
  <c r="H22" i="11"/>
  <c r="D103" i="14"/>
  <c r="Q584" i="2"/>
  <c r="Q635" i="2"/>
  <c r="Q636" i="2"/>
  <c r="T640" i="2"/>
  <c r="T643" i="2"/>
  <c r="T641" i="2"/>
  <c r="T638" i="2"/>
  <c r="I32" i="12"/>
  <c r="R646" i="2"/>
  <c r="R644" i="2"/>
  <c r="R656" i="2"/>
  <c r="R658" i="2"/>
  <c r="J112" i="12"/>
  <c r="S652" i="2"/>
  <c r="S650" i="2"/>
  <c r="R661" i="2"/>
  <c r="R659" i="2"/>
  <c r="S671" i="2"/>
  <c r="S674" i="2"/>
  <c r="S672" i="2"/>
  <c r="S669" i="2"/>
  <c r="T677" i="2"/>
  <c r="T675" i="2"/>
  <c r="S689" i="2"/>
  <c r="S687" i="2"/>
  <c r="J113" i="13"/>
  <c r="T681" i="2"/>
  <c r="T683" i="2"/>
  <c r="T692" i="2"/>
  <c r="T690" i="2"/>
  <c r="S718" i="2"/>
  <c r="S720" i="2"/>
  <c r="J112" i="14"/>
  <c r="S712" i="2"/>
  <c r="S714" i="2"/>
  <c r="R723" i="2"/>
  <c r="R721" i="2"/>
  <c r="R649" i="2"/>
  <c r="R647" i="2"/>
  <c r="S646" i="2"/>
  <c r="S644" i="2"/>
  <c r="R655" i="2"/>
  <c r="R653" i="2"/>
  <c r="S658" i="2"/>
  <c r="S656" i="2"/>
  <c r="J113" i="12"/>
  <c r="T652" i="2"/>
  <c r="T650" i="2"/>
  <c r="S659" i="2"/>
  <c r="S661" i="2"/>
  <c r="T671" i="2"/>
  <c r="T672" i="2"/>
  <c r="T674" i="2"/>
  <c r="T669" i="2"/>
  <c r="T687" i="2"/>
  <c r="T689" i="2"/>
  <c r="R698" i="2"/>
  <c r="R696" i="2"/>
  <c r="R702" i="2"/>
  <c r="R708" i="2"/>
  <c r="R706" i="2"/>
  <c r="R700" i="2"/>
  <c r="T720" i="2"/>
  <c r="T718" i="2"/>
  <c r="J113" i="14"/>
  <c r="T714" i="2"/>
  <c r="T712" i="2"/>
  <c r="S721" i="2"/>
  <c r="S723" i="2"/>
  <c r="F114" i="12"/>
  <c r="J141" i="13"/>
  <c r="Q451" i="2"/>
  <c r="T729" i="2"/>
  <c r="T727" i="2"/>
  <c r="S729" i="2"/>
  <c r="S727" i="2"/>
  <c r="T698" i="2"/>
  <c r="T696" i="2"/>
  <c r="D147" i="13"/>
  <c r="J145" i="13"/>
  <c r="J147" i="13" s="1"/>
  <c r="S698" i="2"/>
  <c r="S696" i="2"/>
  <c r="J147" i="12"/>
  <c r="T667" i="2"/>
  <c r="T665" i="2"/>
  <c r="Q442" i="2"/>
  <c r="D147" i="12"/>
  <c r="S667" i="2"/>
  <c r="S665" i="2"/>
  <c r="Q572" i="2"/>
  <c r="J80" i="12"/>
  <c r="J119" i="12"/>
  <c r="Q612" i="2"/>
  <c r="Q614" i="2"/>
  <c r="J102" i="12"/>
  <c r="Q448" i="2"/>
  <c r="Q439" i="2"/>
  <c r="R729" i="2"/>
  <c r="R727" i="2"/>
  <c r="R667" i="2"/>
  <c r="R665" i="2"/>
  <c r="D125" i="12"/>
  <c r="D68" i="11"/>
  <c r="D55" i="11"/>
  <c r="R454" i="2"/>
  <c r="C86" i="10"/>
  <c r="C90" i="10"/>
  <c r="C86" i="17"/>
  <c r="C90" i="17"/>
  <c r="C83" i="9"/>
  <c r="C90" i="9"/>
  <c r="C84" i="9"/>
  <c r="C86" i="9"/>
  <c r="I94" i="14"/>
  <c r="I97" i="14" s="1"/>
  <c r="T572" i="2" s="1"/>
  <c r="J164" i="14"/>
  <c r="J123" i="13"/>
  <c r="J33" i="12"/>
  <c r="S352" i="2"/>
  <c r="S395" i="2"/>
  <c r="S351" i="2"/>
  <c r="T395" i="2"/>
  <c r="T351" i="2"/>
  <c r="T352" i="2"/>
  <c r="T393" i="2"/>
  <c r="S393" i="2"/>
  <c r="R352" i="2"/>
  <c r="R395" i="2"/>
  <c r="R351" i="2"/>
  <c r="R567" i="2"/>
  <c r="R568" i="2"/>
  <c r="S567" i="2"/>
  <c r="S568" i="2"/>
  <c r="T568" i="2"/>
  <c r="T567" i="2"/>
  <c r="R562" i="2"/>
  <c r="R561" i="2"/>
  <c r="S562" i="2"/>
  <c r="S561" i="2"/>
  <c r="R578" i="2"/>
  <c r="T561" i="2"/>
  <c r="T562" i="2"/>
  <c r="R508" i="2"/>
  <c r="R509" i="2"/>
  <c r="R502" i="2"/>
  <c r="R503" i="2"/>
  <c r="S508" i="2"/>
  <c r="S509" i="2"/>
  <c r="S503" i="2"/>
  <c r="S502" i="2"/>
  <c r="T503" i="2"/>
  <c r="T502" i="2"/>
  <c r="R381" i="2"/>
  <c r="R382" i="2"/>
  <c r="S381" i="2"/>
  <c r="S382" i="2"/>
  <c r="T381" i="2"/>
  <c r="T382" i="2"/>
  <c r="D26" i="11"/>
  <c r="I35" i="12"/>
  <c r="I83" i="12"/>
  <c r="I86" i="12" s="1"/>
  <c r="T445" i="2" s="1"/>
  <c r="D123" i="11"/>
  <c r="J164" i="12"/>
  <c r="H56" i="12"/>
  <c r="H93" i="12"/>
  <c r="H97" i="12" s="1"/>
  <c r="S448" i="2" s="1"/>
  <c r="D143" i="11"/>
  <c r="J27" i="12"/>
  <c r="J27" i="11" s="1"/>
  <c r="D84" i="11"/>
  <c r="I94" i="13"/>
  <c r="I97" i="13" s="1"/>
  <c r="T513" i="2" s="1"/>
  <c r="J16" i="12"/>
  <c r="J84" i="12"/>
  <c r="J84" i="11" s="1"/>
  <c r="D90" i="10"/>
  <c r="J41" i="14"/>
  <c r="J41" i="11" s="1"/>
  <c r="C5" i="14"/>
  <c r="J34" i="12"/>
  <c r="G86" i="12"/>
  <c r="R445" i="2" s="1"/>
  <c r="J85" i="12"/>
  <c r="J95" i="13"/>
  <c r="J162" i="13"/>
  <c r="H38" i="14"/>
  <c r="H42" i="14" s="1"/>
  <c r="J95" i="14"/>
  <c r="J121" i="14"/>
  <c r="J162" i="14"/>
  <c r="G42" i="11"/>
  <c r="D15" i="11"/>
  <c r="I32" i="13"/>
  <c r="I35" i="13" s="1"/>
  <c r="J15" i="12"/>
  <c r="J40" i="14"/>
  <c r="H93" i="14"/>
  <c r="H97" i="14" s="1"/>
  <c r="S572" i="2" s="1"/>
  <c r="I94" i="12"/>
  <c r="I97" i="12" s="1"/>
  <c r="T448" i="2" s="1"/>
  <c r="J124" i="13"/>
  <c r="J124" i="14"/>
  <c r="J15" i="13"/>
  <c r="E75" i="13"/>
  <c r="Q507" i="2" s="1"/>
  <c r="H93" i="13"/>
  <c r="H97" i="13" s="1"/>
  <c r="S513" i="2" s="1"/>
  <c r="J164" i="13"/>
  <c r="I49" i="11"/>
  <c r="J123" i="14"/>
  <c r="D90" i="17"/>
  <c r="C5" i="12"/>
  <c r="D40" i="11"/>
  <c r="D62" i="11"/>
  <c r="D14" i="11"/>
  <c r="I25" i="12"/>
  <c r="I25" i="11" s="1"/>
  <c r="D31" i="11"/>
  <c r="D96" i="11"/>
  <c r="J163" i="12"/>
  <c r="H31" i="13"/>
  <c r="H35" i="13" s="1"/>
  <c r="J96" i="13"/>
  <c r="D39" i="11"/>
  <c r="G97" i="14"/>
  <c r="R572" i="2" s="1"/>
  <c r="J96" i="14"/>
  <c r="J163" i="14"/>
  <c r="F28" i="11"/>
  <c r="E86" i="11"/>
  <c r="C5" i="13"/>
  <c r="J26" i="12"/>
  <c r="J26" i="11" s="1"/>
  <c r="J123" i="12"/>
  <c r="D32" i="11"/>
  <c r="D164" i="11"/>
  <c r="D70" i="12"/>
  <c r="D113" i="11"/>
  <c r="F130" i="11"/>
  <c r="I102" i="11"/>
  <c r="H75" i="11"/>
  <c r="J128" i="11"/>
  <c r="J20" i="12"/>
  <c r="J22" i="12" s="1"/>
  <c r="J22" i="11" s="1"/>
  <c r="J99" i="11"/>
  <c r="J73" i="14"/>
  <c r="F114" i="14"/>
  <c r="J74" i="11"/>
  <c r="D11" i="11"/>
  <c r="G165" i="11"/>
  <c r="R386" i="2" s="1"/>
  <c r="D82" i="17"/>
  <c r="E82" i="17"/>
  <c r="E114" i="14"/>
  <c r="J130" i="14"/>
  <c r="J136" i="14" s="1"/>
  <c r="F82" i="17"/>
  <c r="F82" i="10"/>
  <c r="J139" i="11"/>
  <c r="F147" i="11"/>
  <c r="J72" i="13"/>
  <c r="J130" i="13"/>
  <c r="E82" i="10"/>
  <c r="F114" i="13"/>
  <c r="D82" i="9"/>
  <c r="D132" i="11"/>
  <c r="D48" i="11"/>
  <c r="D83" i="11"/>
  <c r="D16" i="11"/>
  <c r="D33" i="11"/>
  <c r="D53" i="11"/>
  <c r="D59" i="11"/>
  <c r="J62" i="11"/>
  <c r="J163" i="13"/>
  <c r="I75" i="11"/>
  <c r="J117" i="14"/>
  <c r="J117" i="11" s="1"/>
  <c r="D141" i="11"/>
  <c r="J100" i="14"/>
  <c r="D91" i="11"/>
  <c r="J73" i="13"/>
  <c r="E114" i="13"/>
  <c r="H91" i="11"/>
  <c r="H119" i="11"/>
  <c r="I141" i="11"/>
  <c r="G28" i="12"/>
  <c r="R439" i="2" s="1"/>
  <c r="H147" i="12"/>
  <c r="D75" i="11"/>
  <c r="D102" i="11"/>
  <c r="E22" i="11"/>
  <c r="D88" i="17"/>
  <c r="I91" i="11"/>
  <c r="G102" i="11"/>
  <c r="D119" i="11"/>
  <c r="I119" i="11"/>
  <c r="J129" i="11"/>
  <c r="G136" i="11"/>
  <c r="J140" i="11"/>
  <c r="G141" i="11"/>
  <c r="J72" i="14"/>
  <c r="J118" i="14"/>
  <c r="J118" i="11" s="1"/>
  <c r="F74" i="11"/>
  <c r="F101" i="11"/>
  <c r="G75" i="11"/>
  <c r="F125" i="11"/>
  <c r="F165" i="11"/>
  <c r="G91" i="11"/>
  <c r="H102" i="11"/>
  <c r="G125" i="11"/>
  <c r="J141" i="14"/>
  <c r="J147" i="14" s="1"/>
  <c r="F118" i="11"/>
  <c r="E136" i="11"/>
  <c r="I136" i="11"/>
  <c r="E11" i="11"/>
  <c r="E117" i="11"/>
  <c r="G147" i="13"/>
  <c r="D88" i="10" s="1"/>
  <c r="D88" i="8" s="1"/>
  <c r="G88" i="8" s="1"/>
  <c r="F10" i="11"/>
  <c r="D130" i="11"/>
  <c r="H136" i="11"/>
  <c r="G119" i="11"/>
  <c r="J73" i="12"/>
  <c r="F11" i="11"/>
  <c r="F22" i="11"/>
  <c r="E28" i="11"/>
  <c r="J77" i="11"/>
  <c r="E80" i="11"/>
  <c r="E97" i="11"/>
  <c r="G130" i="11"/>
  <c r="H141" i="11"/>
  <c r="E165" i="11"/>
  <c r="F136" i="12"/>
  <c r="F136" i="11" s="1"/>
  <c r="D90" i="9"/>
  <c r="E9" i="11"/>
  <c r="E20" i="11"/>
  <c r="G22" i="11"/>
  <c r="G72" i="11"/>
  <c r="E91" i="11"/>
  <c r="F97" i="11"/>
  <c r="F102" i="11"/>
  <c r="J116" i="11"/>
  <c r="H130" i="11"/>
  <c r="J138" i="11"/>
  <c r="E141" i="11"/>
  <c r="J72" i="12"/>
  <c r="F80" i="12"/>
  <c r="D104" i="12" s="1"/>
  <c r="J130" i="12"/>
  <c r="E73" i="11"/>
  <c r="E78" i="11"/>
  <c r="F91" i="11"/>
  <c r="E100" i="11"/>
  <c r="F119" i="11"/>
  <c r="J127" i="11"/>
  <c r="E130" i="11"/>
  <c r="I130" i="11"/>
  <c r="F141" i="11"/>
  <c r="D28" i="12"/>
  <c r="D28" i="11" s="1"/>
  <c r="D35" i="12"/>
  <c r="J69" i="11"/>
  <c r="G56" i="11"/>
  <c r="I70" i="12"/>
  <c r="I70" i="11" s="1"/>
  <c r="D67" i="11"/>
  <c r="D34" i="11"/>
  <c r="J54" i="11"/>
  <c r="D66" i="11"/>
  <c r="D85" i="11"/>
  <c r="D17" i="12"/>
  <c r="D63" i="12"/>
  <c r="D25" i="11"/>
  <c r="J96" i="12"/>
  <c r="D61" i="11"/>
  <c r="E147" i="13"/>
  <c r="D121" i="11"/>
  <c r="D135" i="11"/>
  <c r="D162" i="11"/>
  <c r="G17" i="13"/>
  <c r="J16" i="13"/>
  <c r="G70" i="11"/>
  <c r="D69" i="11"/>
  <c r="D112" i="11"/>
  <c r="H147" i="13"/>
  <c r="H59" i="13"/>
  <c r="J59" i="13" s="1"/>
  <c r="H125" i="13"/>
  <c r="D94" i="11"/>
  <c r="D163" i="11"/>
  <c r="D93" i="11"/>
  <c r="D111" i="11"/>
  <c r="D145" i="11"/>
  <c r="I53" i="13"/>
  <c r="I56" i="13" s="1"/>
  <c r="D122" i="11"/>
  <c r="D146" i="11"/>
  <c r="D56" i="13"/>
  <c r="D97" i="13"/>
  <c r="J132" i="13"/>
  <c r="I39" i="14"/>
  <c r="I42" i="14" s="1"/>
  <c r="J133" i="11"/>
  <c r="D42" i="14"/>
  <c r="D42" i="11" s="1"/>
  <c r="D97" i="14"/>
  <c r="E147" i="14"/>
  <c r="H143" i="11"/>
  <c r="J49" i="11"/>
  <c r="D125" i="14"/>
  <c r="D147" i="14"/>
  <c r="H147" i="14"/>
  <c r="D38" i="11"/>
  <c r="D136" i="14"/>
  <c r="I147" i="14"/>
  <c r="J47" i="11"/>
  <c r="J146" i="11"/>
  <c r="D70" i="13"/>
  <c r="D125" i="13"/>
  <c r="D136" i="13"/>
  <c r="I147" i="13"/>
  <c r="D54" i="11"/>
  <c r="J61" i="11"/>
  <c r="D110" i="11"/>
  <c r="D124" i="11"/>
  <c r="D134" i="11"/>
  <c r="D144" i="11"/>
  <c r="D35" i="13"/>
  <c r="J34" i="13"/>
  <c r="J67" i="13"/>
  <c r="G97" i="13"/>
  <c r="R513" i="2" s="1"/>
  <c r="F85" i="10"/>
  <c r="G63" i="11"/>
  <c r="J124" i="12"/>
  <c r="J134" i="12"/>
  <c r="J134" i="11" s="1"/>
  <c r="I56" i="12"/>
  <c r="J53" i="12"/>
  <c r="D13" i="11"/>
  <c r="D60" i="11"/>
  <c r="J60" i="12"/>
  <c r="D95" i="11"/>
  <c r="J95" i="12"/>
  <c r="J97" i="12" s="1"/>
  <c r="I144" i="11"/>
  <c r="J55" i="12"/>
  <c r="J55" i="11" s="1"/>
  <c r="D136" i="12"/>
  <c r="J135" i="12"/>
  <c r="J135" i="11" s="1"/>
  <c r="J162" i="12"/>
  <c r="D86" i="12"/>
  <c r="E17" i="14"/>
  <c r="F17" i="14"/>
  <c r="F184" i="14" s="1"/>
  <c r="F75" i="14"/>
  <c r="Q566" i="2" s="1"/>
  <c r="J101" i="14"/>
  <c r="I125" i="14"/>
  <c r="F17" i="13"/>
  <c r="F184" i="13" s="1"/>
  <c r="J119" i="13"/>
  <c r="D17" i="13"/>
  <c r="D63" i="13"/>
  <c r="E119" i="13"/>
  <c r="E17" i="13"/>
  <c r="J33" i="13"/>
  <c r="H52" i="13"/>
  <c r="H66" i="13"/>
  <c r="J100" i="13"/>
  <c r="I125" i="13"/>
  <c r="J60" i="13"/>
  <c r="E17" i="12"/>
  <c r="H70" i="12"/>
  <c r="J66" i="12"/>
  <c r="D56" i="12"/>
  <c r="E119" i="12"/>
  <c r="E125" i="12" s="1"/>
  <c r="F17" i="12"/>
  <c r="J59" i="12"/>
  <c r="J68" i="12"/>
  <c r="J68" i="11" s="1"/>
  <c r="I125" i="12"/>
  <c r="D147" i="11" l="1"/>
  <c r="J113" i="11"/>
  <c r="J112" i="11"/>
  <c r="H104" i="12"/>
  <c r="F183" i="14"/>
  <c r="F185" i="14" s="1"/>
  <c r="H104" i="13"/>
  <c r="H108" i="13" s="1"/>
  <c r="D104" i="14"/>
  <c r="C63" i="17" s="1"/>
  <c r="R501" i="2"/>
  <c r="F183" i="12"/>
  <c r="E184" i="12"/>
  <c r="E183" i="12"/>
  <c r="E185" i="12" s="1"/>
  <c r="E183" i="13"/>
  <c r="F185" i="13"/>
  <c r="T605" i="2"/>
  <c r="T603" i="2"/>
  <c r="R617" i="2"/>
  <c r="R615" i="2"/>
  <c r="S605" i="2"/>
  <c r="S603" i="2"/>
  <c r="T614" i="2"/>
  <c r="G103" i="14"/>
  <c r="G108" i="14" s="1"/>
  <c r="D103" i="13"/>
  <c r="S617" i="2"/>
  <c r="S615" i="2"/>
  <c r="Q617" i="2"/>
  <c r="Q615" i="2"/>
  <c r="T617" i="2"/>
  <c r="T615" i="2"/>
  <c r="R605" i="2"/>
  <c r="R603" i="2"/>
  <c r="D103" i="12"/>
  <c r="Q516" i="2"/>
  <c r="J145" i="11"/>
  <c r="Q501" i="2"/>
  <c r="Q524" i="2"/>
  <c r="Q523" i="2"/>
  <c r="Q511" i="2"/>
  <c r="Q512" i="2"/>
  <c r="Q374" i="2"/>
  <c r="Q560" i="2"/>
  <c r="Q582" i="2"/>
  <c r="Q583" i="2"/>
  <c r="Q570" i="2"/>
  <c r="Q571" i="2"/>
  <c r="Q575" i="2"/>
  <c r="J97" i="14"/>
  <c r="Q436" i="2"/>
  <c r="Q365" i="2"/>
  <c r="Q458" i="2"/>
  <c r="Q459" i="2"/>
  <c r="T630" i="2"/>
  <c r="T632" i="2"/>
  <c r="Q386" i="2"/>
  <c r="Q621" i="2"/>
  <c r="Q623" i="2"/>
  <c r="J17" i="12"/>
  <c r="J86" i="12"/>
  <c r="S630" i="2"/>
  <c r="S632" i="2"/>
  <c r="Q608" i="2"/>
  <c r="Q606" i="2"/>
  <c r="T436" i="2"/>
  <c r="Q609" i="2"/>
  <c r="Q611" i="2"/>
  <c r="Q440" i="2"/>
  <c r="Q441" i="2"/>
  <c r="J80" i="11"/>
  <c r="Q454" i="2"/>
  <c r="Q446" i="2"/>
  <c r="Q447" i="2"/>
  <c r="Q438" i="2"/>
  <c r="Q437" i="2"/>
  <c r="R632" i="2"/>
  <c r="R630" i="2"/>
  <c r="Q632" i="2"/>
  <c r="Q630" i="2"/>
  <c r="C84" i="10"/>
  <c r="C83" i="8"/>
  <c r="H110" i="11"/>
  <c r="I110" i="11"/>
  <c r="H24" i="11"/>
  <c r="I24" i="11"/>
  <c r="J16" i="11"/>
  <c r="T519" i="2"/>
  <c r="C87" i="10"/>
  <c r="C82" i="10"/>
  <c r="R519" i="2"/>
  <c r="C90" i="8"/>
  <c r="C87" i="17"/>
  <c r="C84" i="17"/>
  <c r="C86" i="8"/>
  <c r="C82" i="17"/>
  <c r="C82" i="9"/>
  <c r="I46" i="11"/>
  <c r="I94" i="11"/>
  <c r="E125" i="13"/>
  <c r="Q519" i="2" s="1"/>
  <c r="I83" i="11"/>
  <c r="J52" i="12"/>
  <c r="T578" i="2"/>
  <c r="J42" i="14"/>
  <c r="J42" i="11" s="1"/>
  <c r="H125" i="14"/>
  <c r="S578" i="2" s="1"/>
  <c r="J164" i="11"/>
  <c r="J40" i="11"/>
  <c r="T566" i="2"/>
  <c r="T559" i="2"/>
  <c r="T558" i="2"/>
  <c r="R576" i="2"/>
  <c r="R577" i="2"/>
  <c r="R583" i="2"/>
  <c r="R582" i="2"/>
  <c r="J162" i="11"/>
  <c r="S559" i="2"/>
  <c r="S558" i="2"/>
  <c r="R559" i="2"/>
  <c r="R558" i="2"/>
  <c r="S500" i="2"/>
  <c r="S499" i="2"/>
  <c r="T508" i="2"/>
  <c r="T509" i="2"/>
  <c r="T507" i="2"/>
  <c r="E75" i="11"/>
  <c r="R524" i="2"/>
  <c r="R523" i="2"/>
  <c r="S519" i="2"/>
  <c r="J96" i="11"/>
  <c r="R518" i="2"/>
  <c r="R517" i="2"/>
  <c r="T500" i="2"/>
  <c r="T499" i="2"/>
  <c r="S626" i="2"/>
  <c r="S624" i="2"/>
  <c r="T608" i="2"/>
  <c r="T606" i="2"/>
  <c r="R609" i="2"/>
  <c r="R611" i="2"/>
  <c r="T618" i="2"/>
  <c r="T620" i="2"/>
  <c r="R435" i="2"/>
  <c r="R434" i="2"/>
  <c r="R623" i="2"/>
  <c r="R621" i="2"/>
  <c r="J20" i="11"/>
  <c r="R458" i="2"/>
  <c r="R459" i="2"/>
  <c r="R453" i="2"/>
  <c r="R452" i="2"/>
  <c r="S623" i="2"/>
  <c r="S621" i="2"/>
  <c r="S611" i="2"/>
  <c r="S609" i="2"/>
  <c r="T626" i="2"/>
  <c r="T624" i="2"/>
  <c r="S620" i="2"/>
  <c r="S618" i="2"/>
  <c r="J34" i="11"/>
  <c r="T611" i="2"/>
  <c r="T609" i="2"/>
  <c r="R620" i="2"/>
  <c r="R618" i="2"/>
  <c r="R606" i="2"/>
  <c r="R608" i="2"/>
  <c r="S608" i="2"/>
  <c r="S606" i="2"/>
  <c r="S614" i="2"/>
  <c r="S612" i="2"/>
  <c r="R626" i="2"/>
  <c r="R624" i="2"/>
  <c r="R612" i="2"/>
  <c r="R614" i="2"/>
  <c r="T621" i="2"/>
  <c r="T623" i="2"/>
  <c r="J85" i="11"/>
  <c r="J15" i="11"/>
  <c r="J123" i="11"/>
  <c r="J97" i="13"/>
  <c r="I35" i="11"/>
  <c r="F84" i="10"/>
  <c r="E86" i="10"/>
  <c r="E86" i="17"/>
  <c r="F84" i="17"/>
  <c r="J124" i="11"/>
  <c r="G17" i="11"/>
  <c r="J95" i="11"/>
  <c r="H38" i="11"/>
  <c r="H28" i="12"/>
  <c r="S439" i="2" s="1"/>
  <c r="F86" i="10"/>
  <c r="J32" i="13"/>
  <c r="F86" i="17"/>
  <c r="H93" i="11"/>
  <c r="J163" i="11"/>
  <c r="D86" i="17"/>
  <c r="I32" i="11"/>
  <c r="D86" i="10"/>
  <c r="J31" i="13"/>
  <c r="J136" i="13"/>
  <c r="J32" i="12"/>
  <c r="G28" i="11"/>
  <c r="R365" i="2" s="1"/>
  <c r="D90" i="8"/>
  <c r="F85" i="9"/>
  <c r="F85" i="8" s="1"/>
  <c r="J17" i="13"/>
  <c r="D70" i="11"/>
  <c r="J102" i="14"/>
  <c r="J75" i="13"/>
  <c r="F175" i="14"/>
  <c r="I56" i="11"/>
  <c r="J53" i="13"/>
  <c r="J53" i="11" s="1"/>
  <c r="I53" i="11"/>
  <c r="J75" i="14"/>
  <c r="F175" i="13"/>
  <c r="J132" i="11"/>
  <c r="F114" i="11"/>
  <c r="J130" i="11"/>
  <c r="I14" i="11"/>
  <c r="D82" i="10"/>
  <c r="H63" i="13"/>
  <c r="J28" i="12"/>
  <c r="J28" i="11" s="1"/>
  <c r="J67" i="12"/>
  <c r="J67" i="11" s="1"/>
  <c r="J141" i="11"/>
  <c r="I67" i="11"/>
  <c r="F88" i="17"/>
  <c r="J72" i="11"/>
  <c r="J119" i="14"/>
  <c r="J119" i="11" s="1"/>
  <c r="D97" i="11"/>
  <c r="D83" i="9"/>
  <c r="I86" i="11"/>
  <c r="T371" i="2" s="1"/>
  <c r="I42" i="11"/>
  <c r="I39" i="11"/>
  <c r="F75" i="11"/>
  <c r="J101" i="11"/>
  <c r="E147" i="11"/>
  <c r="R380" i="2"/>
  <c r="J102" i="13"/>
  <c r="J100" i="11"/>
  <c r="F17" i="11"/>
  <c r="E17" i="11"/>
  <c r="F86" i="12"/>
  <c r="Q445" i="2" s="1"/>
  <c r="F80" i="11"/>
  <c r="G97" i="12"/>
  <c r="R448" i="2" s="1"/>
  <c r="E119" i="11"/>
  <c r="E102" i="11"/>
  <c r="J75" i="12"/>
  <c r="J73" i="11"/>
  <c r="D35" i="11"/>
  <c r="D17" i="11"/>
  <c r="D63" i="11"/>
  <c r="D86" i="11"/>
  <c r="D136" i="11"/>
  <c r="J60" i="11"/>
  <c r="J122" i="13"/>
  <c r="J125" i="13" s="1"/>
  <c r="H147" i="11"/>
  <c r="E88" i="10"/>
  <c r="D56" i="11"/>
  <c r="J63" i="13"/>
  <c r="J86" i="11"/>
  <c r="F88" i="10"/>
  <c r="J147" i="11"/>
  <c r="E125" i="14"/>
  <c r="Q578" i="2" s="1"/>
  <c r="H42" i="11"/>
  <c r="H49" i="11"/>
  <c r="H45" i="11"/>
  <c r="R566" i="2"/>
  <c r="H56" i="13"/>
  <c r="H56" i="11" s="1"/>
  <c r="H52" i="11"/>
  <c r="R507" i="2"/>
  <c r="H70" i="13"/>
  <c r="H70" i="11" s="1"/>
  <c r="H66" i="11"/>
  <c r="D125" i="11"/>
  <c r="J33" i="11"/>
  <c r="H35" i="12"/>
  <c r="H31" i="11"/>
  <c r="I125" i="11"/>
  <c r="J136" i="12"/>
  <c r="H121" i="11"/>
  <c r="J121" i="12"/>
  <c r="J121" i="11" s="1"/>
  <c r="I147" i="12"/>
  <c r="I147" i="11" s="1"/>
  <c r="R442" i="2"/>
  <c r="J63" i="12"/>
  <c r="J59" i="11"/>
  <c r="J122" i="12"/>
  <c r="I122" i="11"/>
  <c r="H63" i="12"/>
  <c r="H59" i="11"/>
  <c r="I97" i="11"/>
  <c r="T374" i="2" s="1"/>
  <c r="F86" i="9"/>
  <c r="H125" i="12"/>
  <c r="S454" i="2" s="1"/>
  <c r="H86" i="12"/>
  <c r="S445" i="2" s="1"/>
  <c r="I17" i="11"/>
  <c r="T362" i="2" s="1"/>
  <c r="F82" i="9"/>
  <c r="I63" i="12"/>
  <c r="T442" i="2" s="1"/>
  <c r="I60" i="11"/>
  <c r="H17" i="12"/>
  <c r="S436" i="2" s="1"/>
  <c r="H13" i="11"/>
  <c r="G86" i="11"/>
  <c r="R371" i="2" s="1"/>
  <c r="D85" i="9"/>
  <c r="H97" i="11"/>
  <c r="S374" i="2" s="1"/>
  <c r="E86" i="9"/>
  <c r="J122" i="14"/>
  <c r="J52" i="13"/>
  <c r="J66" i="13"/>
  <c r="J31" i="12"/>
  <c r="J104" i="13" l="1"/>
  <c r="G103" i="12"/>
  <c r="E183" i="11"/>
  <c r="F183" i="11"/>
  <c r="H104" i="14"/>
  <c r="H108" i="14" s="1"/>
  <c r="J104" i="14"/>
  <c r="J103" i="14"/>
  <c r="E184" i="13"/>
  <c r="H108" i="12"/>
  <c r="J104" i="12"/>
  <c r="D105" i="14"/>
  <c r="I105" i="14" s="1"/>
  <c r="G183" i="14"/>
  <c r="E185" i="13"/>
  <c r="R362" i="2"/>
  <c r="F184" i="12"/>
  <c r="F185" i="12" s="1"/>
  <c r="E184" i="14"/>
  <c r="E185" i="14" s="1"/>
  <c r="H183" i="13"/>
  <c r="D106" i="13"/>
  <c r="J106" i="13" s="1"/>
  <c r="D104" i="11"/>
  <c r="R634" i="2"/>
  <c r="G103" i="13"/>
  <c r="G108" i="13" s="1"/>
  <c r="G183" i="13" s="1"/>
  <c r="T633" i="2"/>
  <c r="T634" i="2"/>
  <c r="D103" i="11"/>
  <c r="R633" i="2"/>
  <c r="Q505" i="2"/>
  <c r="Q506" i="2"/>
  <c r="Q573" i="2"/>
  <c r="Q574" i="2"/>
  <c r="Q565" i="2"/>
  <c r="Q564" i="2"/>
  <c r="Q558" i="2"/>
  <c r="Q559" i="2"/>
  <c r="Q368" i="2"/>
  <c r="Q384" i="2"/>
  <c r="Q385" i="2"/>
  <c r="Q373" i="2"/>
  <c r="Q372" i="2"/>
  <c r="Q364" i="2"/>
  <c r="Q363" i="2"/>
  <c r="Q434" i="2"/>
  <c r="Q435" i="2"/>
  <c r="Q514" i="2"/>
  <c r="Q515" i="2"/>
  <c r="Q362" i="2"/>
  <c r="Q499" i="2"/>
  <c r="Q500" i="2"/>
  <c r="C88" i="10"/>
  <c r="C84" i="8"/>
  <c r="J35" i="13"/>
  <c r="I28" i="12"/>
  <c r="J97" i="11"/>
  <c r="C82" i="8"/>
  <c r="C87" i="9"/>
  <c r="C85" i="9"/>
  <c r="C88" i="9"/>
  <c r="S442" i="2"/>
  <c r="J56" i="12"/>
  <c r="C88" i="17"/>
  <c r="Q586" i="2" s="1"/>
  <c r="E175" i="13"/>
  <c r="J17" i="11"/>
  <c r="E88" i="17"/>
  <c r="S577" i="2" s="1"/>
  <c r="J125" i="14"/>
  <c r="T576" i="2"/>
  <c r="T577" i="2"/>
  <c r="S570" i="2"/>
  <c r="S571" i="2"/>
  <c r="S566" i="2"/>
  <c r="T565" i="2"/>
  <c r="T564" i="2"/>
  <c r="T571" i="2"/>
  <c r="T570" i="2"/>
  <c r="R570" i="2"/>
  <c r="R571" i="2"/>
  <c r="S507" i="2"/>
  <c r="T380" i="2"/>
  <c r="T518" i="2"/>
  <c r="T517" i="2"/>
  <c r="R500" i="2"/>
  <c r="R499" i="2"/>
  <c r="J32" i="11"/>
  <c r="S517" i="2"/>
  <c r="S518" i="2"/>
  <c r="T511" i="2"/>
  <c r="T512" i="2"/>
  <c r="R512" i="2"/>
  <c r="R511" i="2"/>
  <c r="S511" i="2"/>
  <c r="S512" i="2"/>
  <c r="T506" i="2"/>
  <c r="T505" i="2"/>
  <c r="T446" i="2"/>
  <c r="T447" i="2"/>
  <c r="R437" i="2"/>
  <c r="R438" i="2"/>
  <c r="R385" i="2"/>
  <c r="R384" i="2"/>
  <c r="S446" i="2"/>
  <c r="S447" i="2"/>
  <c r="T435" i="2"/>
  <c r="T434" i="2"/>
  <c r="T454" i="2"/>
  <c r="H28" i="11"/>
  <c r="S365" i="2" s="1"/>
  <c r="R378" i="2"/>
  <c r="R379" i="2"/>
  <c r="R443" i="2"/>
  <c r="R444" i="2"/>
  <c r="T369" i="2"/>
  <c r="T370" i="2"/>
  <c r="T443" i="2"/>
  <c r="T444" i="2"/>
  <c r="J136" i="11"/>
  <c r="J56" i="13"/>
  <c r="D84" i="10"/>
  <c r="D84" i="17"/>
  <c r="D82" i="8"/>
  <c r="E83" i="9"/>
  <c r="E84" i="17"/>
  <c r="D84" i="9"/>
  <c r="E86" i="8"/>
  <c r="D85" i="8"/>
  <c r="E84" i="9"/>
  <c r="I63" i="11"/>
  <c r="T368" i="2" s="1"/>
  <c r="F86" i="8"/>
  <c r="F175" i="12"/>
  <c r="D86" i="9"/>
  <c r="D83" i="8"/>
  <c r="F84" i="9"/>
  <c r="J102" i="11"/>
  <c r="J75" i="11"/>
  <c r="E175" i="14"/>
  <c r="H63" i="11"/>
  <c r="J63" i="11"/>
  <c r="E175" i="12"/>
  <c r="J70" i="12"/>
  <c r="G97" i="11"/>
  <c r="R374" i="2" s="1"/>
  <c r="F88" i="9"/>
  <c r="E125" i="11"/>
  <c r="E114" i="11"/>
  <c r="Q377" i="2" s="1"/>
  <c r="F86" i="11"/>
  <c r="Q371" i="2" s="1"/>
  <c r="J70" i="13"/>
  <c r="G49" i="11"/>
  <c r="J66" i="11"/>
  <c r="E84" i="10"/>
  <c r="J52" i="11"/>
  <c r="J35" i="12"/>
  <c r="J31" i="11"/>
  <c r="H86" i="11"/>
  <c r="S371" i="2" s="1"/>
  <c r="E85" i="9"/>
  <c r="H125" i="11"/>
  <c r="E88" i="9"/>
  <c r="J125" i="12"/>
  <c r="J122" i="11"/>
  <c r="F82" i="8"/>
  <c r="G35" i="11"/>
  <c r="H35" i="11"/>
  <c r="H17" i="11"/>
  <c r="S362" i="2" s="1"/>
  <c r="E82" i="9"/>
  <c r="G114" i="14"/>
  <c r="R575" i="2" l="1"/>
  <c r="G184" i="14"/>
  <c r="G185" i="14" s="1"/>
  <c r="F184" i="11"/>
  <c r="F185" i="11" s="1"/>
  <c r="J104" i="11"/>
  <c r="H183" i="12"/>
  <c r="H108" i="11"/>
  <c r="H183" i="11" s="1"/>
  <c r="D106" i="12"/>
  <c r="E184" i="11"/>
  <c r="E185" i="11" s="1"/>
  <c r="H183" i="14"/>
  <c r="D106" i="14"/>
  <c r="J106" i="14" s="1"/>
  <c r="H104" i="11"/>
  <c r="J103" i="13"/>
  <c r="G108" i="12"/>
  <c r="G183" i="12" s="1"/>
  <c r="G103" i="11"/>
  <c r="D105" i="13"/>
  <c r="G114" i="13"/>
  <c r="G184" i="13" s="1"/>
  <c r="G185" i="13" s="1"/>
  <c r="S380" i="2"/>
  <c r="S633" i="2"/>
  <c r="S634" i="2"/>
  <c r="I108" i="14"/>
  <c r="Q380" i="2"/>
  <c r="Q634" i="2"/>
  <c r="Q633" i="2"/>
  <c r="J105" i="14"/>
  <c r="J103" i="12"/>
  <c r="Q531" i="2"/>
  <c r="Q527" i="2"/>
  <c r="C91" i="10"/>
  <c r="Q529" i="2" s="1"/>
  <c r="Q518" i="2"/>
  <c r="Q517" i="2"/>
  <c r="Q577" i="2"/>
  <c r="Q576" i="2"/>
  <c r="Q585" i="2"/>
  <c r="Q587" i="2"/>
  <c r="Q590" i="2"/>
  <c r="T439" i="2"/>
  <c r="Q366" i="2"/>
  <c r="Q367" i="2"/>
  <c r="Q452" i="2"/>
  <c r="Q453" i="2"/>
  <c r="C91" i="9"/>
  <c r="Q464" i="2" s="1"/>
  <c r="Q450" i="2"/>
  <c r="Q449" i="2"/>
  <c r="Q361" i="2"/>
  <c r="Q360" i="2"/>
  <c r="Q528" i="2"/>
  <c r="Q526" i="2"/>
  <c r="Q463" i="2"/>
  <c r="Q461" i="2"/>
  <c r="Q443" i="2"/>
  <c r="Q444" i="2"/>
  <c r="Q466" i="2"/>
  <c r="Q462" i="2"/>
  <c r="I28" i="11"/>
  <c r="S576" i="2"/>
  <c r="C91" i="17"/>
  <c r="C85" i="8"/>
  <c r="C87" i="8"/>
  <c r="H114" i="13"/>
  <c r="F83" i="9"/>
  <c r="J56" i="11"/>
  <c r="C88" i="8"/>
  <c r="J125" i="11"/>
  <c r="R565" i="2"/>
  <c r="R564" i="2"/>
  <c r="S565" i="2"/>
  <c r="S564" i="2"/>
  <c r="R368" i="2"/>
  <c r="S505" i="2"/>
  <c r="S506" i="2"/>
  <c r="R505" i="2"/>
  <c r="R506" i="2"/>
  <c r="S373" i="2"/>
  <c r="S372" i="2"/>
  <c r="S443" i="2"/>
  <c r="S444" i="2"/>
  <c r="R440" i="2"/>
  <c r="R441" i="2"/>
  <c r="S368" i="2"/>
  <c r="T440" i="2"/>
  <c r="T441" i="2"/>
  <c r="T452" i="2"/>
  <c r="T453" i="2"/>
  <c r="S453" i="2"/>
  <c r="S452" i="2"/>
  <c r="R363" i="2"/>
  <c r="R364" i="2"/>
  <c r="S440" i="2"/>
  <c r="S441" i="2"/>
  <c r="R361" i="2"/>
  <c r="R360" i="2"/>
  <c r="T373" i="2"/>
  <c r="T372" i="2"/>
  <c r="S435" i="2"/>
  <c r="S434" i="2"/>
  <c r="T360" i="2"/>
  <c r="T361" i="2"/>
  <c r="R447" i="2"/>
  <c r="R446" i="2"/>
  <c r="R370" i="2"/>
  <c r="R369" i="2"/>
  <c r="E83" i="8"/>
  <c r="S438" i="2"/>
  <c r="S437" i="2"/>
  <c r="H114" i="14"/>
  <c r="G175" i="14"/>
  <c r="E84" i="8"/>
  <c r="D84" i="8"/>
  <c r="E85" i="8"/>
  <c r="E175" i="11"/>
  <c r="F88" i="8"/>
  <c r="F84" i="8"/>
  <c r="E88" i="8"/>
  <c r="F175" i="11"/>
  <c r="D86" i="8"/>
  <c r="J70" i="11"/>
  <c r="J35" i="11"/>
  <c r="D87" i="17"/>
  <c r="G114" i="12"/>
  <c r="E82" i="8"/>
  <c r="D107" i="14" l="1"/>
  <c r="J107" i="14" s="1"/>
  <c r="J108" i="14" s="1"/>
  <c r="J183" i="14" s="1"/>
  <c r="I183" i="14"/>
  <c r="R451" i="2"/>
  <c r="D87" i="9"/>
  <c r="G184" i="12"/>
  <c r="G185" i="12" s="1"/>
  <c r="T365" i="2"/>
  <c r="D106" i="11"/>
  <c r="J106" i="12"/>
  <c r="J106" i="11" s="1"/>
  <c r="S516" i="2"/>
  <c r="S575" i="2"/>
  <c r="D108" i="14"/>
  <c r="D183" i="14" s="1"/>
  <c r="I105" i="13"/>
  <c r="I108" i="13" s="1"/>
  <c r="I114" i="13" s="1"/>
  <c r="F87" i="10" s="1"/>
  <c r="J103" i="11"/>
  <c r="R516" i="2"/>
  <c r="G175" i="13"/>
  <c r="D87" i="10"/>
  <c r="G108" i="11"/>
  <c r="G183" i="11" s="1"/>
  <c r="D105" i="12"/>
  <c r="Q530" i="2"/>
  <c r="C93" i="10"/>
  <c r="Q537" i="2"/>
  <c r="Q589" i="2"/>
  <c r="Q596" i="2"/>
  <c r="Q588" i="2"/>
  <c r="Q465" i="2"/>
  <c r="Q378" i="2"/>
  <c r="Q379" i="2"/>
  <c r="Q376" i="2"/>
  <c r="Q375" i="2"/>
  <c r="Q387" i="2"/>
  <c r="Q389" i="2"/>
  <c r="Q369" i="2"/>
  <c r="Q392" i="2"/>
  <c r="Q388" i="2"/>
  <c r="Q370" i="2"/>
  <c r="E87" i="10"/>
  <c r="C93" i="17"/>
  <c r="F83" i="8"/>
  <c r="T437" i="2"/>
  <c r="T438" i="2"/>
  <c r="C91" i="8"/>
  <c r="E87" i="17"/>
  <c r="R573" i="2"/>
  <c r="R574" i="2"/>
  <c r="R586" i="2"/>
  <c r="R585" i="2"/>
  <c r="R587" i="2"/>
  <c r="S370" i="2"/>
  <c r="S369" i="2"/>
  <c r="R373" i="2"/>
  <c r="R372" i="2"/>
  <c r="R367" i="2"/>
  <c r="R366" i="2"/>
  <c r="S363" i="2"/>
  <c r="S364" i="2"/>
  <c r="S360" i="2"/>
  <c r="S361" i="2"/>
  <c r="T367" i="2"/>
  <c r="T366" i="2"/>
  <c r="S366" i="2"/>
  <c r="S367" i="2"/>
  <c r="S378" i="2"/>
  <c r="S379" i="2"/>
  <c r="T379" i="2"/>
  <c r="T378" i="2"/>
  <c r="G175" i="12"/>
  <c r="G114" i="11"/>
  <c r="I114" i="14"/>
  <c r="C94" i="10" l="1"/>
  <c r="Q539" i="2" s="1"/>
  <c r="C63" i="10"/>
  <c r="D87" i="8"/>
  <c r="Q598" i="2"/>
  <c r="Q597" i="2"/>
  <c r="T575" i="2"/>
  <c r="I63" i="10"/>
  <c r="H63" i="10"/>
  <c r="R377" i="2"/>
  <c r="G184" i="11"/>
  <c r="G185" i="11" s="1"/>
  <c r="I63" i="17"/>
  <c r="H63" i="17"/>
  <c r="T516" i="2"/>
  <c r="D107" i="13"/>
  <c r="J107" i="13" s="1"/>
  <c r="I183" i="13"/>
  <c r="J105" i="13"/>
  <c r="R527" i="2"/>
  <c r="R514" i="2"/>
  <c r="R515" i="2"/>
  <c r="R526" i="2"/>
  <c r="R528" i="2"/>
  <c r="I105" i="12"/>
  <c r="D105" i="11"/>
  <c r="Q536" i="2"/>
  <c r="Q535" i="2"/>
  <c r="Q601" i="2"/>
  <c r="Q594" i="2"/>
  <c r="Q595" i="2"/>
  <c r="C93" i="8"/>
  <c r="Q391" i="2"/>
  <c r="Q398" i="2"/>
  <c r="Q390" i="2"/>
  <c r="S515" i="2"/>
  <c r="S514" i="2"/>
  <c r="C96" i="17"/>
  <c r="T363" i="2"/>
  <c r="T364" i="2"/>
  <c r="S573" i="2"/>
  <c r="S574" i="2"/>
  <c r="T514" i="2"/>
  <c r="T515" i="2"/>
  <c r="R461" i="2"/>
  <c r="R463" i="2"/>
  <c r="R450" i="2"/>
  <c r="R449" i="2"/>
  <c r="R462" i="2"/>
  <c r="G175" i="11"/>
  <c r="F87" i="17"/>
  <c r="J114" i="14"/>
  <c r="D114" i="14"/>
  <c r="Q538" i="2" l="1"/>
  <c r="C96" i="10"/>
  <c r="Q541" i="2" s="1"/>
  <c r="Q542" i="2"/>
  <c r="J108" i="13"/>
  <c r="Q722" i="2"/>
  <c r="C78" i="17"/>
  <c r="D161" i="14"/>
  <c r="Q721" i="2" s="1"/>
  <c r="I63" i="8"/>
  <c r="H63" i="8"/>
  <c r="C63" i="8"/>
  <c r="C113" i="8" s="1"/>
  <c r="D108" i="13"/>
  <c r="D114" i="13" s="1"/>
  <c r="Q691" i="2"/>
  <c r="C78" i="10"/>
  <c r="D161" i="13"/>
  <c r="Q690" i="2" s="1"/>
  <c r="J114" i="13"/>
  <c r="J183" i="13"/>
  <c r="I108" i="12"/>
  <c r="I183" i="12" s="1"/>
  <c r="I105" i="11"/>
  <c r="J105" i="12"/>
  <c r="Q540" i="2"/>
  <c r="Q600" i="2"/>
  <c r="Q599" i="2"/>
  <c r="Q397" i="2"/>
  <c r="Q396" i="2"/>
  <c r="T573" i="2"/>
  <c r="T574" i="2"/>
  <c r="R389" i="2"/>
  <c r="R387" i="2"/>
  <c r="R375" i="2"/>
  <c r="R376" i="2"/>
  <c r="R388" i="2"/>
  <c r="C115" i="8" l="1"/>
  <c r="Q671" i="2"/>
  <c r="Q692" i="2"/>
  <c r="D165" i="13"/>
  <c r="D175" i="13" s="1"/>
  <c r="Q625" i="2"/>
  <c r="Q702" i="2"/>
  <c r="Q723" i="2"/>
  <c r="D165" i="14"/>
  <c r="D183" i="13"/>
  <c r="Q670" i="2"/>
  <c r="Q669" i="2"/>
  <c r="Q701" i="2"/>
  <c r="Q700" i="2"/>
  <c r="J105" i="11"/>
  <c r="D107" i="12"/>
  <c r="I108" i="11"/>
  <c r="I183" i="11" s="1"/>
  <c r="I114" i="12"/>
  <c r="D184" i="13" l="1"/>
  <c r="D185" i="13" s="1"/>
  <c r="H165" i="14"/>
  <c r="D175" i="14"/>
  <c r="D184" i="14"/>
  <c r="D185" i="14" s="1"/>
  <c r="I161" i="13"/>
  <c r="H165" i="13"/>
  <c r="D107" i="11"/>
  <c r="J107" i="12"/>
  <c r="D108" i="12"/>
  <c r="I114" i="11"/>
  <c r="T451" i="2"/>
  <c r="F87" i="9"/>
  <c r="J165" i="13" l="1"/>
  <c r="I165" i="13"/>
  <c r="S584" i="2"/>
  <c r="E90" i="17"/>
  <c r="H175" i="14"/>
  <c r="H184" i="14"/>
  <c r="H185" i="14" s="1"/>
  <c r="E90" i="10"/>
  <c r="S525" i="2"/>
  <c r="H175" i="13"/>
  <c r="H184" i="13"/>
  <c r="H185" i="13" s="1"/>
  <c r="J165" i="14"/>
  <c r="I165" i="14"/>
  <c r="D108" i="11"/>
  <c r="D183" i="11" s="1"/>
  <c r="D183" i="12"/>
  <c r="T449" i="2"/>
  <c r="F87" i="8"/>
  <c r="T450" i="2"/>
  <c r="J107" i="11"/>
  <c r="J108" i="12"/>
  <c r="T377" i="2"/>
  <c r="I39" i="4"/>
  <c r="J39" i="4"/>
  <c r="K15" i="3"/>
  <c r="J68" i="4"/>
  <c r="R69" i="4" s="1"/>
  <c r="I68" i="6"/>
  <c r="H68" i="6"/>
  <c r="G68" i="6"/>
  <c r="F68" i="6"/>
  <c r="H39" i="6"/>
  <c r="H41" i="6" s="1"/>
  <c r="G39" i="6"/>
  <c r="G41" i="6" s="1"/>
  <c r="F39" i="6"/>
  <c r="F41" i="6" s="1"/>
  <c r="H31" i="6"/>
  <c r="G31" i="6"/>
  <c r="F31" i="6"/>
  <c r="E190" i="2" s="1"/>
  <c r="H18" i="6"/>
  <c r="G18" i="6"/>
  <c r="F18" i="6"/>
  <c r="I39" i="6"/>
  <c r="I41" i="6" s="1"/>
  <c r="H68" i="5"/>
  <c r="G68" i="5"/>
  <c r="F68" i="5"/>
  <c r="H65" i="5"/>
  <c r="I64" i="5"/>
  <c r="H64" i="5"/>
  <c r="G64" i="5"/>
  <c r="F64" i="5"/>
  <c r="H39" i="5"/>
  <c r="G39" i="5"/>
  <c r="F39" i="5"/>
  <c r="H31" i="5"/>
  <c r="G31" i="5"/>
  <c r="F31" i="5"/>
  <c r="H18" i="5"/>
  <c r="G18" i="5"/>
  <c r="F18" i="5"/>
  <c r="H68" i="4"/>
  <c r="G68" i="4"/>
  <c r="F68" i="4"/>
  <c r="H65" i="4"/>
  <c r="K64" i="4"/>
  <c r="H64" i="4"/>
  <c r="G64" i="4"/>
  <c r="F64" i="4"/>
  <c r="H39" i="4"/>
  <c r="G39" i="4"/>
  <c r="F39" i="4"/>
  <c r="H31" i="4"/>
  <c r="G31" i="4"/>
  <c r="F31" i="4"/>
  <c r="R19" i="4"/>
  <c r="H18" i="4"/>
  <c r="G18" i="4"/>
  <c r="F18" i="4"/>
  <c r="H69" i="3"/>
  <c r="G69" i="3"/>
  <c r="I65" i="5"/>
  <c r="J60" i="3"/>
  <c r="I60" i="3"/>
  <c r="H60" i="3"/>
  <c r="G60" i="3"/>
  <c r="F60" i="3"/>
  <c r="H47" i="3"/>
  <c r="G47" i="3"/>
  <c r="F47" i="3"/>
  <c r="K38" i="3"/>
  <c r="I38" i="3"/>
  <c r="H38" i="3"/>
  <c r="G38" i="3"/>
  <c r="F38" i="3"/>
  <c r="K37" i="3"/>
  <c r="J37" i="3"/>
  <c r="I37" i="3"/>
  <c r="H37" i="3"/>
  <c r="G37" i="3"/>
  <c r="F37" i="3"/>
  <c r="H36" i="3"/>
  <c r="G36" i="3"/>
  <c r="F36" i="3"/>
  <c r="K30" i="3"/>
  <c r="J30" i="3"/>
  <c r="I30" i="3"/>
  <c r="H30" i="3"/>
  <c r="G30" i="3"/>
  <c r="F30" i="3"/>
  <c r="E76" i="2" s="1"/>
  <c r="K29" i="3"/>
  <c r="J29" i="3"/>
  <c r="I29" i="3"/>
  <c r="H29" i="3"/>
  <c r="G29" i="3"/>
  <c r="F29" i="3"/>
  <c r="E73" i="2" s="1"/>
  <c r="H28" i="3"/>
  <c r="G28" i="3"/>
  <c r="F28" i="3"/>
  <c r="E70" i="2" s="1"/>
  <c r="H27" i="3"/>
  <c r="G27" i="3"/>
  <c r="F27" i="3"/>
  <c r="E67" i="2" s="1"/>
  <c r="H26" i="3"/>
  <c r="G26" i="3"/>
  <c r="F26" i="3"/>
  <c r="E64" i="2" s="1"/>
  <c r="H25" i="3"/>
  <c r="G25" i="3"/>
  <c r="F25" i="3"/>
  <c r="E61" i="2" s="1"/>
  <c r="H24" i="3"/>
  <c r="G24" i="3"/>
  <c r="F24" i="3"/>
  <c r="E58" i="2" s="1"/>
  <c r="H23" i="3"/>
  <c r="G23" i="3"/>
  <c r="F23" i="3"/>
  <c r="E55" i="2" s="1"/>
  <c r="H22" i="3"/>
  <c r="G22" i="3"/>
  <c r="F22" i="3"/>
  <c r="E52" i="2" s="1"/>
  <c r="K17" i="3"/>
  <c r="J17" i="3"/>
  <c r="I17" i="3"/>
  <c r="H17" i="3"/>
  <c r="G17" i="3"/>
  <c r="F17" i="3"/>
  <c r="E49" i="2" s="1"/>
  <c r="H16" i="3"/>
  <c r="G16" i="3"/>
  <c r="F16" i="3"/>
  <c r="E46" i="2" s="1"/>
  <c r="I15" i="3"/>
  <c r="H15" i="3"/>
  <c r="G15" i="3"/>
  <c r="F15" i="3"/>
  <c r="E43" i="2" s="1"/>
  <c r="J14" i="3"/>
  <c r="H14" i="3"/>
  <c r="G14" i="3"/>
  <c r="F14" i="3"/>
  <c r="E40" i="2" s="1"/>
  <c r="H12" i="3"/>
  <c r="G12" i="3"/>
  <c r="F12" i="3"/>
  <c r="E37" i="2" s="1"/>
  <c r="J175" i="14" l="1"/>
  <c r="J184" i="14"/>
  <c r="J185" i="14" s="1"/>
  <c r="S523" i="2"/>
  <c r="S524" i="2"/>
  <c r="S527" i="2"/>
  <c r="S582" i="2"/>
  <c r="S583" i="2"/>
  <c r="S586" i="2"/>
  <c r="S528" i="2"/>
  <c r="S526" i="2"/>
  <c r="T525" i="2"/>
  <c r="F90" i="10"/>
  <c r="I175" i="13"/>
  <c r="I184" i="13"/>
  <c r="I185" i="13" s="1"/>
  <c r="F90" i="17"/>
  <c r="T584" i="2"/>
  <c r="I184" i="14"/>
  <c r="I185" i="14" s="1"/>
  <c r="I175" i="14"/>
  <c r="S587" i="2"/>
  <c r="S585" i="2"/>
  <c r="J184" i="13"/>
  <c r="J185" i="13" s="1"/>
  <c r="J175" i="13"/>
  <c r="J108" i="11"/>
  <c r="J183" i="11" s="1"/>
  <c r="J183" i="12"/>
  <c r="F41" i="2"/>
  <c r="F40" i="2"/>
  <c r="G38" i="2"/>
  <c r="G37" i="2"/>
  <c r="I40" i="2"/>
  <c r="I41" i="2"/>
  <c r="H43" i="2"/>
  <c r="H44" i="2"/>
  <c r="I50" i="2"/>
  <c r="I49" i="2"/>
  <c r="G53" i="2"/>
  <c r="G52" i="2"/>
  <c r="F61" i="2"/>
  <c r="F62" i="2"/>
  <c r="G64" i="2"/>
  <c r="G65" i="2"/>
  <c r="F74" i="2"/>
  <c r="F73" i="2"/>
  <c r="J74" i="2"/>
  <c r="J73" i="2"/>
  <c r="H77" i="2"/>
  <c r="H76" i="2"/>
  <c r="E82" i="2"/>
  <c r="E83" i="2"/>
  <c r="I83" i="2"/>
  <c r="I82" i="2"/>
  <c r="T375" i="2"/>
  <c r="T376" i="2"/>
  <c r="F49" i="2"/>
  <c r="F50" i="2"/>
  <c r="J49" i="2"/>
  <c r="J50" i="2"/>
  <c r="F59" i="2"/>
  <c r="F58" i="2"/>
  <c r="G62" i="2"/>
  <c r="G61" i="2"/>
  <c r="F71" i="2"/>
  <c r="F70" i="2"/>
  <c r="G74" i="2"/>
  <c r="G73" i="2"/>
  <c r="I77" i="2"/>
  <c r="I76" i="2"/>
  <c r="F82" i="2"/>
  <c r="F83" i="2"/>
  <c r="J82" i="2"/>
  <c r="J83" i="2"/>
  <c r="G50" i="2"/>
  <c r="G49" i="2"/>
  <c r="F56" i="2"/>
  <c r="F55" i="2"/>
  <c r="G58" i="2"/>
  <c r="G59" i="2"/>
  <c r="F67" i="2"/>
  <c r="F68" i="2"/>
  <c r="G71" i="2"/>
  <c r="G70" i="2"/>
  <c r="H73" i="2"/>
  <c r="H74" i="2"/>
  <c r="F76" i="2"/>
  <c r="F77" i="2"/>
  <c r="J76" i="2"/>
  <c r="J77" i="2"/>
  <c r="G83" i="2"/>
  <c r="G82" i="2"/>
  <c r="F44" i="2"/>
  <c r="F43" i="2"/>
  <c r="F47" i="2"/>
  <c r="F46" i="2"/>
  <c r="F37" i="2"/>
  <c r="F38" i="2"/>
  <c r="G41" i="2"/>
  <c r="G40" i="2"/>
  <c r="G44" i="2"/>
  <c r="G43" i="2"/>
  <c r="G46" i="2"/>
  <c r="G47" i="2"/>
  <c r="H50" i="2"/>
  <c r="H49" i="2"/>
  <c r="F53" i="2"/>
  <c r="F52" i="2"/>
  <c r="G56" i="2"/>
  <c r="G55" i="2"/>
  <c r="F65" i="2"/>
  <c r="F64" i="2"/>
  <c r="G68" i="2"/>
  <c r="G67" i="2"/>
  <c r="I74" i="2"/>
  <c r="I73" i="2"/>
  <c r="G76" i="2"/>
  <c r="G77" i="2"/>
  <c r="H83" i="2"/>
  <c r="H82" i="2"/>
  <c r="J44" i="2"/>
  <c r="J43" i="2"/>
  <c r="G118" i="2"/>
  <c r="G119" i="2"/>
  <c r="E118" i="2"/>
  <c r="E119" i="2"/>
  <c r="F41" i="4"/>
  <c r="I119" i="2"/>
  <c r="I118" i="2"/>
  <c r="F118" i="2"/>
  <c r="F119" i="2"/>
  <c r="H119" i="2"/>
  <c r="H118" i="2"/>
  <c r="E166" i="2"/>
  <c r="E165" i="2"/>
  <c r="E167" i="2"/>
  <c r="F167" i="2"/>
  <c r="F166" i="2"/>
  <c r="G166" i="2"/>
  <c r="G167" i="2"/>
  <c r="E77" i="2"/>
  <c r="E74" i="2"/>
  <c r="E188" i="2"/>
  <c r="E189" i="2"/>
  <c r="E183" i="2"/>
  <c r="E182" i="2"/>
  <c r="E173" i="2"/>
  <c r="E171" i="2"/>
  <c r="E172" i="2"/>
  <c r="E169" i="2"/>
  <c r="E135" i="2"/>
  <c r="E134" i="2"/>
  <c r="E50" i="2"/>
  <c r="G117" i="2"/>
  <c r="E121" i="2"/>
  <c r="E123" i="2"/>
  <c r="E117" i="2"/>
  <c r="I117" i="2"/>
  <c r="F117" i="2"/>
  <c r="H124" i="2"/>
  <c r="H117" i="2"/>
  <c r="E71" i="2"/>
  <c r="E56" i="2"/>
  <c r="E68" i="2"/>
  <c r="E53" i="2"/>
  <c r="E19" i="2"/>
  <c r="E65" i="2"/>
  <c r="E62" i="2"/>
  <c r="E59" i="2"/>
  <c r="E41" i="2"/>
  <c r="E44" i="2"/>
  <c r="E47" i="2"/>
  <c r="E86" i="2"/>
  <c r="E87" i="2"/>
  <c r="E38" i="2"/>
  <c r="E16" i="2"/>
  <c r="F114" i="2"/>
  <c r="G26" i="2"/>
  <c r="G25" i="2"/>
  <c r="F27" i="2"/>
  <c r="F162" i="2"/>
  <c r="G164" i="2"/>
  <c r="G173" i="2"/>
  <c r="G169" i="2"/>
  <c r="G165" i="2"/>
  <c r="G172" i="2"/>
  <c r="G171" i="2"/>
  <c r="F61" i="4"/>
  <c r="E101" i="2" s="1"/>
  <c r="E93" i="2"/>
  <c r="E92" i="2"/>
  <c r="F94" i="2"/>
  <c r="F90" i="2"/>
  <c r="F89" i="2"/>
  <c r="E124" i="2"/>
  <c r="E125" i="2"/>
  <c r="G93" i="2"/>
  <c r="G92" i="2"/>
  <c r="G87" i="2"/>
  <c r="G86" i="2"/>
  <c r="G41" i="4"/>
  <c r="F123" i="2"/>
  <c r="F124" i="2"/>
  <c r="F121" i="2"/>
  <c r="F125" i="2"/>
  <c r="I124" i="2"/>
  <c r="I123" i="2"/>
  <c r="I125" i="2"/>
  <c r="I121" i="2"/>
  <c r="F86" i="2"/>
  <c r="F93" i="2"/>
  <c r="F87" i="2"/>
  <c r="F92" i="2"/>
  <c r="G89" i="2"/>
  <c r="G94" i="2"/>
  <c r="G90" i="2"/>
  <c r="I87" i="2"/>
  <c r="I86" i="2"/>
  <c r="I93" i="2"/>
  <c r="E94" i="2"/>
  <c r="E90" i="2"/>
  <c r="E89" i="2"/>
  <c r="H41" i="4"/>
  <c r="G125" i="2"/>
  <c r="G121" i="2"/>
  <c r="G124" i="2"/>
  <c r="G123" i="2"/>
  <c r="H125" i="2"/>
  <c r="H121" i="2"/>
  <c r="H123" i="2"/>
  <c r="F138" i="2"/>
  <c r="F137" i="2"/>
  <c r="F142" i="2"/>
  <c r="F61" i="5"/>
  <c r="E149" i="2" s="1"/>
  <c r="E141" i="2"/>
  <c r="E140" i="2"/>
  <c r="G142" i="2"/>
  <c r="G137" i="2"/>
  <c r="G138" i="2"/>
  <c r="G19" i="5"/>
  <c r="F135" i="2"/>
  <c r="F134" i="2"/>
  <c r="F141" i="2"/>
  <c r="F140" i="2"/>
  <c r="F173" i="2"/>
  <c r="F172" i="2"/>
  <c r="F171" i="2"/>
  <c r="F165" i="2"/>
  <c r="F169" i="2"/>
  <c r="H61" i="5"/>
  <c r="G149" i="2" s="1"/>
  <c r="G141" i="2"/>
  <c r="G134" i="2"/>
  <c r="G140" i="2"/>
  <c r="G135" i="2"/>
  <c r="E138" i="2"/>
  <c r="E137" i="2"/>
  <c r="E142" i="2"/>
  <c r="G16" i="2"/>
  <c r="G19" i="2"/>
  <c r="H208" i="2"/>
  <c r="H202" i="2"/>
  <c r="H210" i="2"/>
  <c r="H209" i="2"/>
  <c r="H206" i="2"/>
  <c r="G19" i="6"/>
  <c r="H61" i="6"/>
  <c r="H66" i="6" s="1"/>
  <c r="G193" i="2" s="1"/>
  <c r="G183" i="2"/>
  <c r="G189" i="2"/>
  <c r="G182" i="2"/>
  <c r="G188" i="2"/>
  <c r="F210" i="2"/>
  <c r="F206" i="2"/>
  <c r="F202" i="2"/>
  <c r="F209" i="2"/>
  <c r="F208" i="2"/>
  <c r="E185" i="2"/>
  <c r="E186" i="2"/>
  <c r="G209" i="2"/>
  <c r="G208" i="2"/>
  <c r="G210" i="2"/>
  <c r="G206" i="2"/>
  <c r="G202" i="2"/>
  <c r="F185" i="2"/>
  <c r="F186" i="2"/>
  <c r="F190" i="2"/>
  <c r="G61" i="6"/>
  <c r="F188" i="2"/>
  <c r="F182" i="2"/>
  <c r="F189" i="2"/>
  <c r="F183" i="2"/>
  <c r="G190" i="2"/>
  <c r="G186" i="2"/>
  <c r="G185" i="2"/>
  <c r="E210" i="2"/>
  <c r="E206" i="2"/>
  <c r="E202" i="2"/>
  <c r="E208" i="2"/>
  <c r="E209" i="2"/>
  <c r="F110" i="2"/>
  <c r="F109" i="2"/>
  <c r="F104" i="2"/>
  <c r="F103" i="2"/>
  <c r="F152" i="2"/>
  <c r="F151" i="2"/>
  <c r="E194" i="2"/>
  <c r="E195" i="2"/>
  <c r="G109" i="2"/>
  <c r="G110" i="2"/>
  <c r="G104" i="2"/>
  <c r="G103" i="2"/>
  <c r="G157" i="2"/>
  <c r="G158" i="2"/>
  <c r="G152" i="2"/>
  <c r="G151" i="2"/>
  <c r="F195" i="2"/>
  <c r="F194" i="2"/>
  <c r="H147" i="2"/>
  <c r="I146" i="2"/>
  <c r="H161" i="2"/>
  <c r="H160" i="2"/>
  <c r="J110" i="2"/>
  <c r="J109" i="2"/>
  <c r="H158" i="2"/>
  <c r="H157" i="2"/>
  <c r="G195" i="2"/>
  <c r="G194" i="2"/>
  <c r="F157" i="2"/>
  <c r="F158" i="2"/>
  <c r="I103" i="2"/>
  <c r="I104" i="2"/>
  <c r="F16" i="2"/>
  <c r="F19" i="2"/>
  <c r="E110" i="2"/>
  <c r="E109" i="2"/>
  <c r="G113" i="2"/>
  <c r="G112" i="2"/>
  <c r="G99" i="2"/>
  <c r="H98" i="2"/>
  <c r="E103" i="2"/>
  <c r="E104" i="2"/>
  <c r="E158" i="2"/>
  <c r="E157" i="2"/>
  <c r="G160" i="2"/>
  <c r="G161" i="2"/>
  <c r="H146" i="2"/>
  <c r="H145" i="2"/>
  <c r="G147" i="2"/>
  <c r="E152" i="2"/>
  <c r="E151" i="2"/>
  <c r="H194" i="2"/>
  <c r="H195" i="2"/>
  <c r="G69" i="6"/>
  <c r="F39" i="3"/>
  <c r="G69" i="4"/>
  <c r="H69" i="6"/>
  <c r="G69" i="5"/>
  <c r="I69" i="6"/>
  <c r="H69" i="5"/>
  <c r="J25" i="3"/>
  <c r="J23" i="3"/>
  <c r="J24" i="3"/>
  <c r="G32" i="5"/>
  <c r="G18" i="3"/>
  <c r="F18" i="3"/>
  <c r="H32" i="6"/>
  <c r="G31" i="3"/>
  <c r="G39" i="3"/>
  <c r="H19" i="4"/>
  <c r="E92" i="9"/>
  <c r="E38" i="9"/>
  <c r="E92" i="10"/>
  <c r="H61" i="4"/>
  <c r="G101" i="2" s="1"/>
  <c r="F31" i="3"/>
  <c r="G32" i="4"/>
  <c r="H19" i="5"/>
  <c r="F61" i="6"/>
  <c r="H18" i="3"/>
  <c r="H39" i="3"/>
  <c r="H69" i="4"/>
  <c r="G19" i="4"/>
  <c r="H32" i="5"/>
  <c r="G61" i="5"/>
  <c r="J38" i="3"/>
  <c r="J65" i="3"/>
  <c r="I65" i="4"/>
  <c r="H97" i="2" s="1"/>
  <c r="J26" i="3"/>
  <c r="J27" i="3"/>
  <c r="H31" i="3"/>
  <c r="H32" i="4"/>
  <c r="J61" i="4"/>
  <c r="I68" i="5"/>
  <c r="I69" i="3"/>
  <c r="I12" i="3"/>
  <c r="I18" i="4"/>
  <c r="I14" i="3"/>
  <c r="K16" i="3"/>
  <c r="I68" i="4"/>
  <c r="H66" i="5"/>
  <c r="K68" i="4"/>
  <c r="M68" i="4" s="1"/>
  <c r="K61" i="4"/>
  <c r="K12" i="3"/>
  <c r="K14" i="3"/>
  <c r="I16" i="3"/>
  <c r="I41" i="4"/>
  <c r="I64" i="4"/>
  <c r="H19" i="6"/>
  <c r="J41" i="4"/>
  <c r="K39" i="4"/>
  <c r="G61" i="4"/>
  <c r="I18" i="6"/>
  <c r="J64" i="5"/>
  <c r="J68" i="5"/>
  <c r="R69" i="5" s="1"/>
  <c r="J68" i="6"/>
  <c r="R69" i="6" s="1"/>
  <c r="J69" i="3"/>
  <c r="J64" i="4"/>
  <c r="G32" i="6"/>
  <c r="I31" i="6"/>
  <c r="T523" i="2" l="1"/>
  <c r="T524" i="2"/>
  <c r="T527" i="2"/>
  <c r="T582" i="2"/>
  <c r="T583" i="2"/>
  <c r="T586" i="2"/>
  <c r="T587" i="2"/>
  <c r="T585" i="2"/>
  <c r="T528" i="2"/>
  <c r="T526" i="2"/>
  <c r="J119" i="2"/>
  <c r="J118" i="2"/>
  <c r="J41" i="2"/>
  <c r="J40" i="2"/>
  <c r="I64" i="2"/>
  <c r="I65" i="2"/>
  <c r="J37" i="2"/>
  <c r="J38" i="2"/>
  <c r="H38" i="2"/>
  <c r="H37" i="2"/>
  <c r="J117" i="2"/>
  <c r="J47" i="2"/>
  <c r="J46" i="2"/>
  <c r="I58" i="2"/>
  <c r="I59" i="2"/>
  <c r="I62" i="2"/>
  <c r="I61" i="2"/>
  <c r="H47" i="2"/>
  <c r="H46" i="2"/>
  <c r="H41" i="2"/>
  <c r="H40" i="2"/>
  <c r="I68" i="2"/>
  <c r="I67" i="2"/>
  <c r="I56" i="2"/>
  <c r="I55" i="2"/>
  <c r="Q427" i="2"/>
  <c r="L103" i="2"/>
  <c r="L104" i="2"/>
  <c r="I326" i="2"/>
  <c r="I264" i="2"/>
  <c r="I295" i="2"/>
  <c r="I233" i="2"/>
  <c r="J65" i="30"/>
  <c r="J65" i="31"/>
  <c r="J65" i="29"/>
  <c r="J65" i="20"/>
  <c r="G163" i="2"/>
  <c r="E164" i="2"/>
  <c r="E163" i="2"/>
  <c r="E192" i="2"/>
  <c r="E18" i="2"/>
  <c r="E17" i="2"/>
  <c r="E22" i="2"/>
  <c r="E115" i="2"/>
  <c r="E116" i="2"/>
  <c r="G41" i="20"/>
  <c r="H116" i="2"/>
  <c r="H115" i="2"/>
  <c r="F116" i="2"/>
  <c r="F115" i="2"/>
  <c r="H41" i="20"/>
  <c r="I115" i="2"/>
  <c r="I116" i="2"/>
  <c r="H19" i="20"/>
  <c r="E20" i="2"/>
  <c r="E14" i="2"/>
  <c r="E21" i="2"/>
  <c r="E15" i="2"/>
  <c r="G115" i="2"/>
  <c r="G116" i="2"/>
  <c r="E33" i="2"/>
  <c r="F41" i="20"/>
  <c r="Q26" i="2"/>
  <c r="R65" i="3"/>
  <c r="K65" i="3"/>
  <c r="J32" i="6"/>
  <c r="H185" i="2"/>
  <c r="H190" i="2"/>
  <c r="H186" i="2"/>
  <c r="J19" i="6"/>
  <c r="H189" i="2"/>
  <c r="H188" i="2"/>
  <c r="H183" i="2"/>
  <c r="H182" i="2"/>
  <c r="F25" i="2"/>
  <c r="F26" i="2"/>
  <c r="E114" i="2"/>
  <c r="E162" i="2"/>
  <c r="L19" i="4"/>
  <c r="J86" i="2"/>
  <c r="J93" i="2"/>
  <c r="J87" i="2"/>
  <c r="J123" i="2"/>
  <c r="J121" i="2"/>
  <c r="J124" i="2"/>
  <c r="J125" i="2"/>
  <c r="I26" i="3"/>
  <c r="H87" i="2"/>
  <c r="H93" i="2"/>
  <c r="H86" i="2"/>
  <c r="F163" i="2"/>
  <c r="F164" i="2"/>
  <c r="E201" i="2"/>
  <c r="E200" i="2"/>
  <c r="E13" i="2"/>
  <c r="G198" i="2"/>
  <c r="G192" i="2"/>
  <c r="G191" i="2"/>
  <c r="G13" i="2"/>
  <c r="G66" i="6"/>
  <c r="H67" i="6" s="1"/>
  <c r="F13" i="2"/>
  <c r="F192" i="2"/>
  <c r="F201" i="2"/>
  <c r="F200" i="2"/>
  <c r="H200" i="2"/>
  <c r="H201" i="2"/>
  <c r="F61" i="3"/>
  <c r="E34" i="2" s="1"/>
  <c r="G201" i="2"/>
  <c r="G200" i="2"/>
  <c r="I162" i="2"/>
  <c r="I114" i="2"/>
  <c r="I27" i="2"/>
  <c r="I25" i="2"/>
  <c r="J26" i="2"/>
  <c r="I110" i="2"/>
  <c r="I109" i="2"/>
  <c r="I158" i="2"/>
  <c r="I157" i="2"/>
  <c r="F161" i="2"/>
  <c r="F160" i="2"/>
  <c r="F147" i="2"/>
  <c r="G146" i="2"/>
  <c r="F149" i="2"/>
  <c r="G145" i="2"/>
  <c r="H109" i="2"/>
  <c r="H110" i="2"/>
  <c r="G155" i="2"/>
  <c r="G150" i="2"/>
  <c r="I69" i="5"/>
  <c r="H152" i="2"/>
  <c r="H151" i="2"/>
  <c r="G18" i="2"/>
  <c r="G17" i="2"/>
  <c r="G22" i="2"/>
  <c r="S425" i="2"/>
  <c r="S426" i="2"/>
  <c r="S469" i="2"/>
  <c r="F21" i="2"/>
  <c r="F20" i="2"/>
  <c r="F15" i="2"/>
  <c r="F14" i="2"/>
  <c r="F33" i="2"/>
  <c r="G148" i="2"/>
  <c r="S468" i="2"/>
  <c r="S467" i="2"/>
  <c r="I152" i="2"/>
  <c r="I151" i="2"/>
  <c r="F112" i="2"/>
  <c r="G98" i="2"/>
  <c r="F113" i="2"/>
  <c r="F101" i="2"/>
  <c r="F99" i="2"/>
  <c r="G97" i="2"/>
  <c r="F66" i="4"/>
  <c r="E113" i="2"/>
  <c r="E112" i="2"/>
  <c r="F97" i="2"/>
  <c r="F98" i="2"/>
  <c r="J103" i="2"/>
  <c r="J104" i="2"/>
  <c r="G33" i="2"/>
  <c r="G20" i="2"/>
  <c r="G21" i="2"/>
  <c r="G15" i="2"/>
  <c r="G14" i="2"/>
  <c r="S533" i="2"/>
  <c r="J16" i="2"/>
  <c r="I194" i="2"/>
  <c r="I195" i="2"/>
  <c r="H104" i="2"/>
  <c r="H103" i="2"/>
  <c r="H16" i="2"/>
  <c r="H112" i="2"/>
  <c r="I98" i="2"/>
  <c r="H113" i="2"/>
  <c r="H99" i="2"/>
  <c r="F22" i="2"/>
  <c r="F18" i="2"/>
  <c r="F17" i="2"/>
  <c r="L69" i="4"/>
  <c r="H61" i="3"/>
  <c r="J69" i="6"/>
  <c r="K69" i="6"/>
  <c r="J69" i="5"/>
  <c r="K69" i="5"/>
  <c r="F38" i="10"/>
  <c r="F92" i="17"/>
  <c r="F38" i="17"/>
  <c r="D38" i="10"/>
  <c r="E92" i="17"/>
  <c r="E38" i="17"/>
  <c r="E38" i="10"/>
  <c r="G19" i="3"/>
  <c r="G32" i="3"/>
  <c r="E15" i="9"/>
  <c r="E12" i="9"/>
  <c r="E33" i="9"/>
  <c r="H66" i="4"/>
  <c r="F38" i="9"/>
  <c r="F92" i="10"/>
  <c r="F92" i="9"/>
  <c r="D92" i="10"/>
  <c r="D92" i="9"/>
  <c r="D38" i="9"/>
  <c r="D92" i="17"/>
  <c r="D38" i="17"/>
  <c r="H19" i="3"/>
  <c r="F66" i="6"/>
  <c r="E193" i="2" s="1"/>
  <c r="I25" i="3"/>
  <c r="I23" i="3"/>
  <c r="H70" i="5"/>
  <c r="G156" i="2" s="1"/>
  <c r="J31" i="4"/>
  <c r="R32" i="4" s="1"/>
  <c r="J22" i="3"/>
  <c r="I32" i="6"/>
  <c r="J16" i="3"/>
  <c r="I61" i="6"/>
  <c r="I19" i="6"/>
  <c r="G66" i="5"/>
  <c r="I18" i="5"/>
  <c r="G61" i="3"/>
  <c r="G66" i="4"/>
  <c r="I69" i="4"/>
  <c r="J69" i="4"/>
  <c r="J15" i="3"/>
  <c r="I27" i="3"/>
  <c r="H32" i="3"/>
  <c r="H70" i="6"/>
  <c r="J12" i="3"/>
  <c r="J132" i="2"/>
  <c r="K69" i="4"/>
  <c r="J65" i="5"/>
  <c r="J65" i="4"/>
  <c r="K19" i="4"/>
  <c r="K18" i="3"/>
  <c r="I61" i="4"/>
  <c r="I66" i="4" s="1"/>
  <c r="I19" i="4"/>
  <c r="J19" i="4"/>
  <c r="I24" i="3"/>
  <c r="J116" i="2" l="1"/>
  <c r="J115" i="2"/>
  <c r="I223" i="2"/>
  <c r="I52" i="2"/>
  <c r="I53" i="2"/>
  <c r="H61" i="2"/>
  <c r="H62" i="2"/>
  <c r="J56" i="2"/>
  <c r="J55" i="2"/>
  <c r="H64" i="2"/>
  <c r="H65" i="2"/>
  <c r="I254" i="2"/>
  <c r="H55" i="2"/>
  <c r="H56" i="2"/>
  <c r="J65" i="2"/>
  <c r="J64" i="2"/>
  <c r="H68" i="2"/>
  <c r="H67" i="2"/>
  <c r="I38" i="2"/>
  <c r="I37" i="2"/>
  <c r="I44" i="2"/>
  <c r="I43" i="2"/>
  <c r="F35" i="2"/>
  <c r="F34" i="2"/>
  <c r="J67" i="2"/>
  <c r="J68" i="2"/>
  <c r="S415" i="2"/>
  <c r="S414" i="2"/>
  <c r="J59" i="2"/>
  <c r="J58" i="2"/>
  <c r="J61" i="2"/>
  <c r="J62" i="2"/>
  <c r="I316" i="2"/>
  <c r="H59" i="2"/>
  <c r="H58" i="2"/>
  <c r="I47" i="2"/>
  <c r="I46" i="2"/>
  <c r="J53" i="2"/>
  <c r="J52" i="2"/>
  <c r="G34" i="2"/>
  <c r="G35" i="2"/>
  <c r="I285" i="2"/>
  <c r="J66" i="31"/>
  <c r="I317" i="2" s="1"/>
  <c r="I324" i="2"/>
  <c r="I325" i="2"/>
  <c r="J295" i="2"/>
  <c r="J233" i="2"/>
  <c r="J326" i="2"/>
  <c r="J264" i="2"/>
  <c r="J66" i="30"/>
  <c r="I286" i="2" s="1"/>
  <c r="I293" i="2"/>
  <c r="I294" i="2"/>
  <c r="Q295" i="2"/>
  <c r="Q233" i="2"/>
  <c r="Q264" i="2"/>
  <c r="Q326" i="2"/>
  <c r="I231" i="2"/>
  <c r="I232" i="2"/>
  <c r="J66" i="20"/>
  <c r="I224" i="2" s="1"/>
  <c r="I262" i="2"/>
  <c r="I263" i="2"/>
  <c r="J66" i="29"/>
  <c r="I255" i="2" s="1"/>
  <c r="G235" i="2"/>
  <c r="G234" i="2"/>
  <c r="E234" i="2"/>
  <c r="E235" i="2"/>
  <c r="F234" i="2"/>
  <c r="F235" i="2"/>
  <c r="K65" i="30"/>
  <c r="K65" i="31"/>
  <c r="K65" i="29"/>
  <c r="K65" i="20"/>
  <c r="J70" i="31"/>
  <c r="J71" i="31" s="1"/>
  <c r="J67" i="31"/>
  <c r="R65" i="31"/>
  <c r="R65" i="29"/>
  <c r="R65" i="30"/>
  <c r="R65" i="20"/>
  <c r="E191" i="2"/>
  <c r="E35" i="2"/>
  <c r="G19" i="20"/>
  <c r="E107" i="2"/>
  <c r="E102" i="2"/>
  <c r="E100" i="2"/>
  <c r="E12" i="2"/>
  <c r="E32" i="2"/>
  <c r="E31" i="2"/>
  <c r="E11" i="2"/>
  <c r="Q146" i="2"/>
  <c r="H134" i="2"/>
  <c r="H141" i="2"/>
  <c r="H135" i="2"/>
  <c r="R65" i="4"/>
  <c r="Q97" i="2" s="1"/>
  <c r="Q162" i="2"/>
  <c r="Q114" i="2"/>
  <c r="Q27" i="2"/>
  <c r="R65" i="5"/>
  <c r="I97" i="2"/>
  <c r="Q98" i="2"/>
  <c r="Q25" i="2"/>
  <c r="C38" i="9"/>
  <c r="C92" i="9"/>
  <c r="F70" i="4"/>
  <c r="E108" i="2" s="1"/>
  <c r="H101" i="2"/>
  <c r="J130" i="2"/>
  <c r="S406" i="2"/>
  <c r="S433" i="2"/>
  <c r="S405" i="2"/>
  <c r="I94" i="2"/>
  <c r="I90" i="2"/>
  <c r="I89" i="2"/>
  <c r="I92" i="2"/>
  <c r="J13" i="2"/>
  <c r="S409" i="2"/>
  <c r="S408" i="2"/>
  <c r="I66" i="6"/>
  <c r="H191" i="2" s="1"/>
  <c r="H192" i="2"/>
  <c r="F193" i="2"/>
  <c r="F198" i="2"/>
  <c r="G70" i="6"/>
  <c r="H71" i="6" s="1"/>
  <c r="F191" i="2"/>
  <c r="E198" i="2"/>
  <c r="J114" i="2"/>
  <c r="J162" i="2"/>
  <c r="K26" i="2"/>
  <c r="J27" i="2"/>
  <c r="J25" i="2"/>
  <c r="F155" i="2"/>
  <c r="F150" i="2"/>
  <c r="R592" i="2"/>
  <c r="R591" i="2"/>
  <c r="G32" i="2"/>
  <c r="G31" i="2"/>
  <c r="G11" i="2"/>
  <c r="G12" i="2"/>
  <c r="H107" i="2"/>
  <c r="H102" i="2"/>
  <c r="F12" i="2"/>
  <c r="F11" i="2"/>
  <c r="F32" i="2"/>
  <c r="F31" i="2"/>
  <c r="R469" i="2"/>
  <c r="R426" i="2"/>
  <c r="R425" i="2"/>
  <c r="T532" i="2"/>
  <c r="T533" i="2"/>
  <c r="S491" i="2"/>
  <c r="S534" i="2"/>
  <c r="S490" i="2"/>
  <c r="T550" i="2"/>
  <c r="T549" i="2"/>
  <c r="T593" i="2"/>
  <c r="S532" i="2"/>
  <c r="F148" i="2"/>
  <c r="I99" i="2"/>
  <c r="I101" i="2"/>
  <c r="I113" i="2"/>
  <c r="J98" i="2"/>
  <c r="I112" i="2"/>
  <c r="I161" i="2"/>
  <c r="I160" i="2"/>
  <c r="I147" i="2"/>
  <c r="J146" i="2"/>
  <c r="I149" i="2"/>
  <c r="I145" i="2"/>
  <c r="G199" i="2"/>
  <c r="G197" i="2"/>
  <c r="R468" i="2"/>
  <c r="R467" i="2"/>
  <c r="T469" i="2"/>
  <c r="T426" i="2"/>
  <c r="T425" i="2"/>
  <c r="G107" i="2"/>
  <c r="G102" i="2"/>
  <c r="G100" i="2"/>
  <c r="S550" i="2"/>
  <c r="S549" i="2"/>
  <c r="S593" i="2"/>
  <c r="T591" i="2"/>
  <c r="T592" i="2"/>
  <c r="G154" i="2"/>
  <c r="F102" i="2"/>
  <c r="F107" i="2"/>
  <c r="T467" i="2"/>
  <c r="T468" i="2"/>
  <c r="R534" i="2"/>
  <c r="R491" i="2"/>
  <c r="R490" i="2"/>
  <c r="F100" i="2"/>
  <c r="L19" i="3"/>
  <c r="J33" i="2"/>
  <c r="J14" i="2"/>
  <c r="J15" i="2"/>
  <c r="J21" i="2"/>
  <c r="R593" i="2"/>
  <c r="R550" i="2"/>
  <c r="R549" i="2"/>
  <c r="R533" i="2"/>
  <c r="R532" i="2"/>
  <c r="S592" i="2"/>
  <c r="S591" i="2"/>
  <c r="T491" i="2"/>
  <c r="T490" i="2"/>
  <c r="T534" i="2"/>
  <c r="F66" i="5"/>
  <c r="E161" i="2"/>
  <c r="E160" i="2"/>
  <c r="F145" i="2"/>
  <c r="F146" i="2"/>
  <c r="H100" i="2"/>
  <c r="I16" i="2"/>
  <c r="E33" i="8"/>
  <c r="K65" i="5"/>
  <c r="J145" i="2" s="1"/>
  <c r="L65" i="3"/>
  <c r="G67" i="6"/>
  <c r="I18" i="3"/>
  <c r="J19" i="5"/>
  <c r="H139" i="2"/>
  <c r="H66" i="3"/>
  <c r="H67" i="4"/>
  <c r="H70" i="4"/>
  <c r="G108" i="2" s="1"/>
  <c r="K51" i="3"/>
  <c r="F12" i="17"/>
  <c r="D15" i="10"/>
  <c r="D12" i="10"/>
  <c r="D33" i="9"/>
  <c r="D15" i="9"/>
  <c r="D12" i="9"/>
  <c r="E81" i="9"/>
  <c r="F12" i="9"/>
  <c r="F15" i="9"/>
  <c r="F33" i="9"/>
  <c r="J66" i="4"/>
  <c r="F70" i="6"/>
  <c r="K36" i="3"/>
  <c r="J66" i="5"/>
  <c r="J18" i="3"/>
  <c r="K65" i="4"/>
  <c r="J97" i="2" s="1"/>
  <c r="G67" i="4"/>
  <c r="G70" i="4"/>
  <c r="F108" i="2" s="1"/>
  <c r="G66" i="3"/>
  <c r="K61" i="3"/>
  <c r="I61" i="5"/>
  <c r="H149" i="2" s="1"/>
  <c r="I19" i="5"/>
  <c r="K28" i="3"/>
  <c r="J61" i="6"/>
  <c r="J61" i="3" s="1"/>
  <c r="I22" i="3"/>
  <c r="I31" i="4"/>
  <c r="G70" i="5"/>
  <c r="H67" i="5"/>
  <c r="J67" i="30" l="1"/>
  <c r="J67" i="29"/>
  <c r="J35" i="2"/>
  <c r="J34" i="2"/>
  <c r="R414" i="2"/>
  <c r="R415" i="2"/>
  <c r="J19" i="2"/>
  <c r="J71" i="2"/>
  <c r="J70" i="2"/>
  <c r="J70" i="30"/>
  <c r="J71" i="30" s="1"/>
  <c r="J70" i="29"/>
  <c r="J71" i="29" s="1"/>
  <c r="I284" i="2"/>
  <c r="I253" i="2"/>
  <c r="T415" i="2"/>
  <c r="T414" i="2"/>
  <c r="I222" i="2"/>
  <c r="H53" i="2"/>
  <c r="H52" i="2"/>
  <c r="I315" i="2"/>
  <c r="Q468" i="2"/>
  <c r="Q467" i="2"/>
  <c r="Q472" i="2"/>
  <c r="C93" i="9"/>
  <c r="Q425" i="2"/>
  <c r="Q469" i="2"/>
  <c r="Q426" i="2"/>
  <c r="J223" i="2"/>
  <c r="J254" i="2"/>
  <c r="J316" i="2"/>
  <c r="J285" i="2"/>
  <c r="Q223" i="2"/>
  <c r="Q285" i="2"/>
  <c r="Q254" i="2"/>
  <c r="Q316" i="2"/>
  <c r="R66" i="31"/>
  <c r="Q317" i="2" s="1"/>
  <c r="Q324" i="2"/>
  <c r="Q325" i="2"/>
  <c r="K66" i="29"/>
  <c r="J253" i="2" s="1"/>
  <c r="J262" i="2"/>
  <c r="J263" i="2"/>
  <c r="K295" i="2"/>
  <c r="K233" i="2"/>
  <c r="K264" i="2"/>
  <c r="K326" i="2"/>
  <c r="R66" i="20"/>
  <c r="Q224" i="2" s="1"/>
  <c r="Q231" i="2"/>
  <c r="Q232" i="2"/>
  <c r="K66" i="31"/>
  <c r="J317" i="2" s="1"/>
  <c r="J324" i="2"/>
  <c r="J325" i="2"/>
  <c r="R66" i="30"/>
  <c r="Q286" i="2" s="1"/>
  <c r="Q293" i="2"/>
  <c r="Q294" i="2"/>
  <c r="K66" i="30"/>
  <c r="J286" i="2" s="1"/>
  <c r="J293" i="2"/>
  <c r="J294" i="2"/>
  <c r="R66" i="29"/>
  <c r="Q255" i="2" s="1"/>
  <c r="Q262" i="2"/>
  <c r="Q263" i="2"/>
  <c r="K66" i="20"/>
  <c r="J224" i="2" s="1"/>
  <c r="J232" i="2"/>
  <c r="J231" i="2"/>
  <c r="L65" i="31"/>
  <c r="L65" i="29"/>
  <c r="L65" i="30"/>
  <c r="L65" i="20"/>
  <c r="J67" i="20"/>
  <c r="J70" i="20"/>
  <c r="J71" i="20" s="1"/>
  <c r="R19" i="3"/>
  <c r="I19" i="3"/>
  <c r="K25" i="2"/>
  <c r="E155" i="2"/>
  <c r="E150" i="2"/>
  <c r="E148" i="2"/>
  <c r="E106" i="2"/>
  <c r="H70" i="3"/>
  <c r="G28" i="2" s="1"/>
  <c r="Q161" i="2"/>
  <c r="Q147" i="2"/>
  <c r="R66" i="5"/>
  <c r="Q149" i="2"/>
  <c r="Q160" i="2"/>
  <c r="R66" i="4"/>
  <c r="Q101" i="2"/>
  <c r="Q112" i="2"/>
  <c r="Q113" i="2"/>
  <c r="Q99" i="2"/>
  <c r="Q145" i="2"/>
  <c r="L32" i="4"/>
  <c r="J90" i="2"/>
  <c r="J94" i="2"/>
  <c r="J89" i="2"/>
  <c r="J92" i="2"/>
  <c r="T405" i="2"/>
  <c r="T433" i="2"/>
  <c r="T406" i="2"/>
  <c r="S349" i="2"/>
  <c r="S348" i="2"/>
  <c r="S431" i="2"/>
  <c r="S432" i="2"/>
  <c r="R406" i="2"/>
  <c r="R433" i="2"/>
  <c r="R405" i="2"/>
  <c r="H94" i="2"/>
  <c r="H90" i="2"/>
  <c r="H89" i="2"/>
  <c r="H92" i="2"/>
  <c r="T409" i="2"/>
  <c r="T408" i="2"/>
  <c r="R409" i="2"/>
  <c r="R408" i="2"/>
  <c r="H13" i="2"/>
  <c r="G67" i="5"/>
  <c r="F66" i="3"/>
  <c r="R483" i="2"/>
  <c r="R482" i="2"/>
  <c r="R480" i="2"/>
  <c r="R479" i="2"/>
  <c r="R498" i="2"/>
  <c r="H193" i="2"/>
  <c r="H198" i="2"/>
  <c r="J66" i="6"/>
  <c r="R67" i="6" s="1"/>
  <c r="I192" i="2"/>
  <c r="I13" i="2"/>
  <c r="I67" i="6"/>
  <c r="F199" i="2"/>
  <c r="F197" i="2"/>
  <c r="T557" i="2"/>
  <c r="T545" i="2"/>
  <c r="T544" i="2"/>
  <c r="M26" i="2"/>
  <c r="K27" i="2"/>
  <c r="K114" i="2"/>
  <c r="K162" i="2"/>
  <c r="I107" i="2"/>
  <c r="I102" i="2"/>
  <c r="E199" i="2"/>
  <c r="E197" i="2"/>
  <c r="F70" i="5"/>
  <c r="E156" i="2" s="1"/>
  <c r="G106" i="2"/>
  <c r="F29" i="2"/>
  <c r="H71" i="5"/>
  <c r="F156" i="2"/>
  <c r="J31" i="2"/>
  <c r="J11" i="2"/>
  <c r="J12" i="2"/>
  <c r="J32" i="2"/>
  <c r="J113" i="2"/>
  <c r="J101" i="2"/>
  <c r="J99" i="2"/>
  <c r="K98" i="2"/>
  <c r="J112" i="2"/>
  <c r="H33" i="2"/>
  <c r="H15" i="2"/>
  <c r="H14" i="2"/>
  <c r="H21" i="2"/>
  <c r="F106" i="2"/>
  <c r="F154" i="2"/>
  <c r="G29" i="2"/>
  <c r="J161" i="2"/>
  <c r="J160" i="2"/>
  <c r="J149" i="2"/>
  <c r="J147" i="2"/>
  <c r="K146" i="2"/>
  <c r="I100" i="2"/>
  <c r="I155" i="2"/>
  <c r="I150" i="2"/>
  <c r="I148" i="2"/>
  <c r="K19" i="3"/>
  <c r="I33" i="2"/>
  <c r="I15" i="2"/>
  <c r="I21" i="2"/>
  <c r="I14" i="2"/>
  <c r="D81" i="10"/>
  <c r="K66" i="5"/>
  <c r="D33" i="8"/>
  <c r="F81" i="17"/>
  <c r="F33" i="8"/>
  <c r="N65" i="3"/>
  <c r="L65" i="4"/>
  <c r="K97" i="2" s="1"/>
  <c r="L65" i="5"/>
  <c r="K145" i="2" s="1"/>
  <c r="G71" i="6"/>
  <c r="H71" i="4"/>
  <c r="J70" i="4"/>
  <c r="I108" i="2" s="1"/>
  <c r="D15" i="8"/>
  <c r="D12" i="17"/>
  <c r="E12" i="17"/>
  <c r="F15" i="10"/>
  <c r="F12" i="10"/>
  <c r="H67" i="3"/>
  <c r="E12" i="10"/>
  <c r="E15" i="10"/>
  <c r="I61" i="3"/>
  <c r="I66" i="5"/>
  <c r="F81" i="9"/>
  <c r="D81" i="9"/>
  <c r="K66" i="4"/>
  <c r="J67" i="4"/>
  <c r="K32" i="4"/>
  <c r="K31" i="3"/>
  <c r="I32" i="4"/>
  <c r="I70" i="6"/>
  <c r="J32" i="4"/>
  <c r="G70" i="3"/>
  <c r="I70" i="4"/>
  <c r="I67" i="4"/>
  <c r="I31" i="5"/>
  <c r="I28" i="3"/>
  <c r="J28" i="3"/>
  <c r="K39" i="3"/>
  <c r="G71" i="4"/>
  <c r="J19" i="3"/>
  <c r="R70" i="31" l="1"/>
  <c r="R71" i="31" s="1"/>
  <c r="C94" i="9"/>
  <c r="Q474" i="2" s="1"/>
  <c r="C63" i="9"/>
  <c r="D161" i="12" s="1"/>
  <c r="K67" i="29"/>
  <c r="J66" i="3"/>
  <c r="H63" i="9"/>
  <c r="I63" i="9"/>
  <c r="K66" i="3"/>
  <c r="K70" i="29"/>
  <c r="K71" i="29" s="1"/>
  <c r="R67" i="31"/>
  <c r="K67" i="31"/>
  <c r="I70" i="2"/>
  <c r="I71" i="2"/>
  <c r="H35" i="2"/>
  <c r="H34" i="2"/>
  <c r="K67" i="30"/>
  <c r="R70" i="30"/>
  <c r="R71" i="30" s="1"/>
  <c r="H70" i="2"/>
  <c r="H71" i="2"/>
  <c r="I35" i="2"/>
  <c r="I34" i="2"/>
  <c r="R67" i="30"/>
  <c r="Q315" i="2"/>
  <c r="Q470" i="2"/>
  <c r="Q471" i="2"/>
  <c r="K70" i="30"/>
  <c r="K71" i="30" s="1"/>
  <c r="K285" i="2"/>
  <c r="J284" i="2"/>
  <c r="K254" i="2"/>
  <c r="K70" i="31"/>
  <c r="K71" i="31" s="1"/>
  <c r="K316" i="2"/>
  <c r="J222" i="2"/>
  <c r="K223" i="2"/>
  <c r="J255" i="2"/>
  <c r="J315" i="2"/>
  <c r="Q253" i="2"/>
  <c r="Q284" i="2"/>
  <c r="R67" i="29"/>
  <c r="R70" i="29"/>
  <c r="R71" i="29" s="1"/>
  <c r="Q222" i="2"/>
  <c r="L66" i="30"/>
  <c r="K286" i="2" s="1"/>
  <c r="K293" i="2"/>
  <c r="K294" i="2"/>
  <c r="M326" i="2"/>
  <c r="M264" i="2"/>
  <c r="M233" i="2"/>
  <c r="M295" i="2"/>
  <c r="L66" i="29"/>
  <c r="K255" i="2" s="1"/>
  <c r="K262" i="2"/>
  <c r="K263" i="2"/>
  <c r="L66" i="31"/>
  <c r="L67" i="31" s="1"/>
  <c r="K324" i="2"/>
  <c r="K325" i="2"/>
  <c r="L66" i="20"/>
  <c r="K224" i="2" s="1"/>
  <c r="K232" i="2"/>
  <c r="K231" i="2"/>
  <c r="R70" i="20"/>
  <c r="K70" i="20"/>
  <c r="N65" i="30"/>
  <c r="N65" i="31"/>
  <c r="N65" i="29"/>
  <c r="N65" i="20"/>
  <c r="J67" i="6"/>
  <c r="H19" i="2"/>
  <c r="I19" i="2"/>
  <c r="I19" i="20"/>
  <c r="K19" i="20"/>
  <c r="J19" i="20"/>
  <c r="R19" i="20"/>
  <c r="G67" i="3"/>
  <c r="E154" i="2"/>
  <c r="G30" i="2"/>
  <c r="F28" i="2"/>
  <c r="F70" i="3"/>
  <c r="E28" i="2" s="1"/>
  <c r="E29" i="2"/>
  <c r="J32" i="5"/>
  <c r="H142" i="2"/>
  <c r="H138" i="2"/>
  <c r="H137" i="2"/>
  <c r="H140" i="2"/>
  <c r="I191" i="2"/>
  <c r="R70" i="4"/>
  <c r="Q106" i="2" s="1"/>
  <c r="Q102" i="2"/>
  <c r="R67" i="4"/>
  <c r="Q107" i="2"/>
  <c r="R66" i="3"/>
  <c r="R70" i="5"/>
  <c r="Q154" i="2" s="1"/>
  <c r="Q155" i="2"/>
  <c r="R67" i="5"/>
  <c r="Q150" i="2"/>
  <c r="E27" i="19"/>
  <c r="Q100" i="2"/>
  <c r="Q148" i="2"/>
  <c r="C96" i="9"/>
  <c r="H114" i="12"/>
  <c r="J148" i="2"/>
  <c r="J100" i="2"/>
  <c r="G71" i="5"/>
  <c r="R349" i="2"/>
  <c r="R348" i="2"/>
  <c r="R432" i="2"/>
  <c r="R431" i="2"/>
  <c r="R466" i="2"/>
  <c r="T432" i="2"/>
  <c r="T431" i="2"/>
  <c r="T348" i="2"/>
  <c r="T349" i="2"/>
  <c r="S483" i="2"/>
  <c r="S482" i="2"/>
  <c r="T482" i="2"/>
  <c r="T483" i="2"/>
  <c r="R496" i="2"/>
  <c r="R497" i="2"/>
  <c r="R531" i="2"/>
  <c r="T498" i="2"/>
  <c r="T480" i="2"/>
  <c r="T479" i="2"/>
  <c r="S479" i="2"/>
  <c r="S498" i="2"/>
  <c r="S480" i="2"/>
  <c r="R343" i="2"/>
  <c r="R342" i="2"/>
  <c r="K67" i="6"/>
  <c r="I193" i="2"/>
  <c r="I198" i="2"/>
  <c r="R557" i="2"/>
  <c r="R545" i="2"/>
  <c r="R544" i="2"/>
  <c r="T556" i="2"/>
  <c r="T555" i="2"/>
  <c r="T590" i="2"/>
  <c r="S557" i="2"/>
  <c r="S545" i="2"/>
  <c r="S544" i="2"/>
  <c r="M27" i="2"/>
  <c r="R347" i="2"/>
  <c r="M162" i="2"/>
  <c r="N26" i="2"/>
  <c r="M114" i="2"/>
  <c r="M25" i="2"/>
  <c r="H150" i="2"/>
  <c r="H155" i="2"/>
  <c r="H148" i="2"/>
  <c r="H108" i="2"/>
  <c r="H106" i="2"/>
  <c r="H32" i="2"/>
  <c r="H12" i="2"/>
  <c r="H11" i="2"/>
  <c r="H31" i="2"/>
  <c r="H199" i="2"/>
  <c r="H197" i="2"/>
  <c r="K160" i="2"/>
  <c r="M146" i="2"/>
  <c r="K161" i="2"/>
  <c r="K147" i="2"/>
  <c r="K149" i="2"/>
  <c r="H71" i="3"/>
  <c r="F30" i="2"/>
  <c r="L32" i="3"/>
  <c r="J22" i="2"/>
  <c r="J18" i="2"/>
  <c r="J17" i="2"/>
  <c r="J20" i="2"/>
  <c r="J102" i="2"/>
  <c r="J107" i="2"/>
  <c r="K113" i="2"/>
  <c r="K101" i="2"/>
  <c r="K112" i="2"/>
  <c r="K99" i="2"/>
  <c r="M98" i="2"/>
  <c r="K70" i="5"/>
  <c r="J156" i="2" s="1"/>
  <c r="J155" i="2"/>
  <c r="J150" i="2"/>
  <c r="I106" i="2"/>
  <c r="I31" i="2"/>
  <c r="I12" i="2"/>
  <c r="I11" i="2"/>
  <c r="I32" i="2"/>
  <c r="L66" i="4"/>
  <c r="K100" i="2" s="1"/>
  <c r="F91" i="17"/>
  <c r="K67" i="5"/>
  <c r="F81" i="10"/>
  <c r="F81" i="8" s="1"/>
  <c r="E81" i="17"/>
  <c r="D91" i="10"/>
  <c r="E15" i="8"/>
  <c r="F15" i="8"/>
  <c r="D81" i="17"/>
  <c r="D81" i="8" s="1"/>
  <c r="L66" i="5"/>
  <c r="L67" i="5" s="1"/>
  <c r="N65" i="5"/>
  <c r="N65" i="4"/>
  <c r="O65" i="3"/>
  <c r="F12" i="8"/>
  <c r="K70" i="4"/>
  <c r="J108" i="2" s="1"/>
  <c r="K67" i="4"/>
  <c r="I71" i="6"/>
  <c r="D12" i="8"/>
  <c r="E81" i="10"/>
  <c r="E12" i="8"/>
  <c r="D91" i="9"/>
  <c r="D16" i="8"/>
  <c r="I70" i="5"/>
  <c r="H156" i="2" s="1"/>
  <c r="I67" i="5"/>
  <c r="J70" i="6"/>
  <c r="R71" i="6" s="1"/>
  <c r="J70" i="5"/>
  <c r="J67" i="5"/>
  <c r="I32" i="5"/>
  <c r="I71" i="4"/>
  <c r="I66" i="3"/>
  <c r="J31" i="3"/>
  <c r="J71" i="4"/>
  <c r="I31" i="3"/>
  <c r="Q473" i="2" l="1"/>
  <c r="C94" i="8"/>
  <c r="C110" i="8" s="1"/>
  <c r="Q477" i="2"/>
  <c r="Q660" i="2"/>
  <c r="C78" i="9"/>
  <c r="Q659" i="2"/>
  <c r="L70" i="29"/>
  <c r="L71" i="29" s="1"/>
  <c r="L67" i="30"/>
  <c r="L70" i="31"/>
  <c r="L71" i="31" s="1"/>
  <c r="Q399" i="2"/>
  <c r="Q403" i="2"/>
  <c r="M223" i="2"/>
  <c r="L67" i="29"/>
  <c r="M254" i="2"/>
  <c r="K222" i="2"/>
  <c r="K284" i="2"/>
  <c r="M316" i="2"/>
  <c r="K253" i="2"/>
  <c r="L70" i="30"/>
  <c r="L71" i="30" s="1"/>
  <c r="M285" i="2"/>
  <c r="L316" i="2"/>
  <c r="K317" i="2"/>
  <c r="L285" i="2"/>
  <c r="L254" i="2"/>
  <c r="K315" i="2"/>
  <c r="N326" i="2"/>
  <c r="N264" i="2"/>
  <c r="N233" i="2"/>
  <c r="N295" i="2"/>
  <c r="N66" i="20"/>
  <c r="M224" i="2" s="1"/>
  <c r="M231" i="2"/>
  <c r="M232" i="2"/>
  <c r="N66" i="29"/>
  <c r="M255" i="2" s="1"/>
  <c r="M263" i="2"/>
  <c r="M262" i="2"/>
  <c r="M66" i="31"/>
  <c r="N66" i="31"/>
  <c r="M317" i="2" s="1"/>
  <c r="M325" i="2"/>
  <c r="M324" i="2"/>
  <c r="L223" i="2"/>
  <c r="M66" i="29"/>
  <c r="L255" i="2" s="1"/>
  <c r="N66" i="30"/>
  <c r="M286" i="2" s="1"/>
  <c r="M294" i="2"/>
  <c r="M293" i="2"/>
  <c r="M66" i="30"/>
  <c r="L70" i="20"/>
  <c r="M66" i="20"/>
  <c r="O65" i="30"/>
  <c r="O65" i="31"/>
  <c r="O65" i="29"/>
  <c r="O65" i="20"/>
  <c r="M66" i="4"/>
  <c r="M70" i="4" s="1"/>
  <c r="L149" i="2"/>
  <c r="R32" i="3"/>
  <c r="G71" i="3"/>
  <c r="L101" i="2"/>
  <c r="Q475" i="2"/>
  <c r="Q476" i="2"/>
  <c r="I29" i="2"/>
  <c r="D27" i="19"/>
  <c r="F27" i="19" s="1"/>
  <c r="E30" i="2"/>
  <c r="M145" i="2"/>
  <c r="D16" i="10"/>
  <c r="D114" i="12"/>
  <c r="R71" i="5"/>
  <c r="Q156" i="2"/>
  <c r="R67" i="3"/>
  <c r="R70" i="3"/>
  <c r="Q29" i="2"/>
  <c r="E28" i="19"/>
  <c r="E29" i="19" s="1"/>
  <c r="R71" i="4"/>
  <c r="Q108" i="2"/>
  <c r="Q400" i="2"/>
  <c r="S451" i="2"/>
  <c r="E87" i="9"/>
  <c r="H114" i="11"/>
  <c r="M66" i="5"/>
  <c r="L150" i="2" s="1"/>
  <c r="L70" i="4"/>
  <c r="K108" i="2" s="1"/>
  <c r="L67" i="4"/>
  <c r="T343" i="2"/>
  <c r="T342" i="2"/>
  <c r="S497" i="2"/>
  <c r="S496" i="2"/>
  <c r="S531" i="2"/>
  <c r="S343" i="2"/>
  <c r="S342" i="2"/>
  <c r="T497" i="2"/>
  <c r="T496" i="2"/>
  <c r="T531" i="2"/>
  <c r="T359" i="2"/>
  <c r="T340" i="2"/>
  <c r="T339" i="2"/>
  <c r="S556" i="2"/>
  <c r="S555" i="2"/>
  <c r="S590" i="2"/>
  <c r="T357" i="2"/>
  <c r="T358" i="2"/>
  <c r="R556" i="2"/>
  <c r="R555" i="2"/>
  <c r="R590" i="2"/>
  <c r="R358" i="2"/>
  <c r="R357" i="2"/>
  <c r="R392" i="2"/>
  <c r="S340" i="2"/>
  <c r="S359" i="2"/>
  <c r="S339" i="2"/>
  <c r="R359" i="2"/>
  <c r="R340" i="2"/>
  <c r="R339" i="2"/>
  <c r="S347" i="2"/>
  <c r="N162" i="2"/>
  <c r="N114" i="2"/>
  <c r="O26" i="2"/>
  <c r="N27" i="2"/>
  <c r="K71" i="4"/>
  <c r="N25" i="2"/>
  <c r="J29" i="2"/>
  <c r="J154" i="2"/>
  <c r="H154" i="2"/>
  <c r="K71" i="6"/>
  <c r="I199" i="2"/>
  <c r="I197" i="2"/>
  <c r="H22" i="2"/>
  <c r="H18" i="2"/>
  <c r="H17" i="2"/>
  <c r="H20" i="2"/>
  <c r="R345" i="2"/>
  <c r="R346" i="2"/>
  <c r="R413" i="2"/>
  <c r="M112" i="2"/>
  <c r="N98" i="2"/>
  <c r="M99" i="2"/>
  <c r="M113" i="2"/>
  <c r="M101" i="2"/>
  <c r="L70" i="5"/>
  <c r="K154" i="2" s="1"/>
  <c r="K155" i="2"/>
  <c r="K150" i="2"/>
  <c r="K107" i="2"/>
  <c r="K102" i="2"/>
  <c r="J106" i="2"/>
  <c r="H29" i="2"/>
  <c r="R487" i="2"/>
  <c r="M160" i="2"/>
  <c r="M149" i="2"/>
  <c r="M147" i="2"/>
  <c r="N146" i="2"/>
  <c r="M161" i="2"/>
  <c r="M97" i="2"/>
  <c r="K148" i="2"/>
  <c r="I18" i="2"/>
  <c r="I22" i="2"/>
  <c r="I17" i="2"/>
  <c r="I20" i="2"/>
  <c r="K71" i="5"/>
  <c r="I156" i="2"/>
  <c r="I154" i="2"/>
  <c r="T589" i="2"/>
  <c r="T596" i="2"/>
  <c r="T588" i="2"/>
  <c r="R537" i="2"/>
  <c r="R529" i="2"/>
  <c r="R530" i="2"/>
  <c r="R472" i="2"/>
  <c r="R464" i="2"/>
  <c r="R465" i="2"/>
  <c r="L66" i="3"/>
  <c r="N66" i="4"/>
  <c r="F93" i="17"/>
  <c r="T601" i="2" s="1"/>
  <c r="N66" i="5"/>
  <c r="N70" i="5" s="1"/>
  <c r="E91" i="17"/>
  <c r="F91" i="10"/>
  <c r="D91" i="17"/>
  <c r="D91" i="8" s="1"/>
  <c r="D93" i="10"/>
  <c r="O65" i="5"/>
  <c r="E16" i="10" s="1"/>
  <c r="O65" i="4"/>
  <c r="P65" i="3"/>
  <c r="J71" i="6"/>
  <c r="I71" i="5"/>
  <c r="J71" i="5"/>
  <c r="E91" i="10"/>
  <c r="E81" i="8"/>
  <c r="D93" i="9"/>
  <c r="D16" i="9"/>
  <c r="E16" i="8"/>
  <c r="I32" i="3"/>
  <c r="J32" i="3"/>
  <c r="K70" i="3"/>
  <c r="K67" i="3"/>
  <c r="K32" i="3"/>
  <c r="J70" i="3"/>
  <c r="J67" i="3"/>
  <c r="I70" i="3"/>
  <c r="I67" i="3"/>
  <c r="C96" i="8" l="1"/>
  <c r="D94" i="10"/>
  <c r="D94" i="9"/>
  <c r="Q661" i="2"/>
  <c r="Q640" i="2"/>
  <c r="D165" i="12"/>
  <c r="D165" i="11" s="1"/>
  <c r="D161" i="11"/>
  <c r="Q639" i="2"/>
  <c r="Q638" i="2"/>
  <c r="C78" i="8"/>
  <c r="L100" i="2"/>
  <c r="N70" i="29"/>
  <c r="N71" i="29" s="1"/>
  <c r="N70" i="30"/>
  <c r="N71" i="30" s="1"/>
  <c r="Q402" i="2"/>
  <c r="Q401" i="2"/>
  <c r="N70" i="31"/>
  <c r="N71" i="31" s="1"/>
  <c r="N254" i="2"/>
  <c r="N316" i="2"/>
  <c r="N285" i="2"/>
  <c r="N67" i="29"/>
  <c r="M284" i="2"/>
  <c r="L253" i="2"/>
  <c r="M222" i="2"/>
  <c r="N67" i="31"/>
  <c r="N223" i="2"/>
  <c r="N67" i="30"/>
  <c r="M315" i="2"/>
  <c r="M253" i="2"/>
  <c r="O66" i="30"/>
  <c r="N286" i="2" s="1"/>
  <c r="N293" i="2"/>
  <c r="N294" i="2"/>
  <c r="L317" i="2"/>
  <c r="M70" i="31"/>
  <c r="O66" i="20"/>
  <c r="N224" i="2" s="1"/>
  <c r="N231" i="2"/>
  <c r="N232" i="2"/>
  <c r="O66" i="29"/>
  <c r="N255" i="2" s="1"/>
  <c r="N262" i="2"/>
  <c r="N263" i="2"/>
  <c r="L315" i="2"/>
  <c r="O295" i="2"/>
  <c r="O233" i="2"/>
  <c r="O264" i="2"/>
  <c r="O326" i="2"/>
  <c r="O66" i="31"/>
  <c r="N317" i="2" s="1"/>
  <c r="N324" i="2"/>
  <c r="N325" i="2"/>
  <c r="M70" i="30"/>
  <c r="L286" i="2"/>
  <c r="L284" i="2"/>
  <c r="M70" i="29"/>
  <c r="L224" i="2"/>
  <c r="L222" i="2"/>
  <c r="M70" i="20"/>
  <c r="P65" i="31"/>
  <c r="P65" i="29"/>
  <c r="P65" i="30"/>
  <c r="P65" i="20"/>
  <c r="L148" i="2"/>
  <c r="N70" i="20"/>
  <c r="K32" i="20"/>
  <c r="L108" i="2"/>
  <c r="L102" i="2"/>
  <c r="L107" i="2"/>
  <c r="R67" i="20"/>
  <c r="K67" i="20"/>
  <c r="I30" i="2"/>
  <c r="K71" i="20"/>
  <c r="D28" i="19"/>
  <c r="H30" i="2"/>
  <c r="Q30" i="2"/>
  <c r="R71" i="3"/>
  <c r="Q28" i="2"/>
  <c r="M70" i="5"/>
  <c r="L156" i="2" s="1"/>
  <c r="L155" i="2"/>
  <c r="D114" i="11"/>
  <c r="S377" i="2"/>
  <c r="S450" i="2"/>
  <c r="E87" i="8"/>
  <c r="S449" i="2"/>
  <c r="L71" i="4"/>
  <c r="K106" i="2"/>
  <c r="M66" i="3"/>
  <c r="E10" i="19" s="1"/>
  <c r="S358" i="2"/>
  <c r="S357" i="2"/>
  <c r="N67" i="5"/>
  <c r="L67" i="3"/>
  <c r="O114" i="2"/>
  <c r="T347" i="2"/>
  <c r="O27" i="2"/>
  <c r="O162" i="2"/>
  <c r="O25" i="2"/>
  <c r="J30" i="2"/>
  <c r="N161" i="2"/>
  <c r="S487" i="2"/>
  <c r="N160" i="2"/>
  <c r="N147" i="2"/>
  <c r="O146" i="2"/>
  <c r="N149" i="2"/>
  <c r="N70" i="4"/>
  <c r="M107" i="2"/>
  <c r="M102" i="2"/>
  <c r="R486" i="2"/>
  <c r="R485" i="2"/>
  <c r="L70" i="3"/>
  <c r="K29" i="2"/>
  <c r="S413" i="2"/>
  <c r="N99" i="2"/>
  <c r="N112" i="2"/>
  <c r="N101" i="2"/>
  <c r="O98" i="2"/>
  <c r="N113" i="2"/>
  <c r="S345" i="2"/>
  <c r="S346" i="2"/>
  <c r="M100" i="2"/>
  <c r="N71" i="5"/>
  <c r="M156" i="2"/>
  <c r="M154" i="2"/>
  <c r="M150" i="2"/>
  <c r="M155" i="2"/>
  <c r="R412" i="2"/>
  <c r="R411" i="2"/>
  <c r="N145" i="2"/>
  <c r="M148" i="2"/>
  <c r="H28" i="2"/>
  <c r="L71" i="5"/>
  <c r="K156" i="2"/>
  <c r="N97" i="2"/>
  <c r="J28" i="2"/>
  <c r="I28" i="2"/>
  <c r="T594" i="2"/>
  <c r="T595" i="2"/>
  <c r="R596" i="2"/>
  <c r="R589" i="2"/>
  <c r="R588" i="2"/>
  <c r="S589" i="2"/>
  <c r="S588" i="2"/>
  <c r="S596" i="2"/>
  <c r="R535" i="2"/>
  <c r="R536" i="2"/>
  <c r="T530" i="2"/>
  <c r="T537" i="2"/>
  <c r="T529" i="2"/>
  <c r="S537" i="2"/>
  <c r="S529" i="2"/>
  <c r="S530" i="2"/>
  <c r="R470" i="2"/>
  <c r="R471" i="2"/>
  <c r="R391" i="2"/>
  <c r="R398" i="2"/>
  <c r="R390" i="2"/>
  <c r="N67" i="4"/>
  <c r="N66" i="3"/>
  <c r="F10" i="19" s="1"/>
  <c r="D96" i="10"/>
  <c r="D93" i="17"/>
  <c r="O66" i="4"/>
  <c r="N100" i="2" s="1"/>
  <c r="F96" i="17"/>
  <c r="O66" i="5"/>
  <c r="O70" i="5" s="1"/>
  <c r="N156" i="2" s="1"/>
  <c r="F93" i="10"/>
  <c r="T542" i="2" s="1"/>
  <c r="E93" i="17"/>
  <c r="S601" i="2" s="1"/>
  <c r="D96" i="9"/>
  <c r="D93" i="8"/>
  <c r="P65" i="4"/>
  <c r="P65" i="5"/>
  <c r="E93" i="10"/>
  <c r="S542" i="2" s="1"/>
  <c r="F16" i="8"/>
  <c r="E16" i="9"/>
  <c r="K71" i="3"/>
  <c r="I71" i="3"/>
  <c r="J71" i="3"/>
  <c r="D94" i="8" l="1"/>
  <c r="C117" i="8" s="1"/>
  <c r="C119" i="8" s="1"/>
  <c r="F15" i="19"/>
  <c r="F16" i="19" s="1"/>
  <c r="F11" i="19"/>
  <c r="E11" i="19"/>
  <c r="F12" i="19"/>
  <c r="E12" i="19"/>
  <c r="E15" i="19"/>
  <c r="E16" i="19" s="1"/>
  <c r="R539" i="2"/>
  <c r="R538" i="2"/>
  <c r="R542" i="2"/>
  <c r="R474" i="2"/>
  <c r="R473" i="2"/>
  <c r="R477" i="2"/>
  <c r="D184" i="12"/>
  <c r="D185" i="12" s="1"/>
  <c r="Q604" i="2"/>
  <c r="Q603" i="2"/>
  <c r="D175" i="12"/>
  <c r="Q626" i="2"/>
  <c r="Q605" i="2"/>
  <c r="Q624" i="2"/>
  <c r="H161" i="11"/>
  <c r="H165" i="12"/>
  <c r="D175" i="11"/>
  <c r="D184" i="11"/>
  <c r="D185" i="11" s="1"/>
  <c r="O70" i="30"/>
  <c r="O71" i="30" s="1"/>
  <c r="O70" i="29"/>
  <c r="O71" i="29" s="1"/>
  <c r="O67" i="29"/>
  <c r="O67" i="30"/>
  <c r="O70" i="31"/>
  <c r="O71" i="31" s="1"/>
  <c r="O316" i="2"/>
  <c r="O67" i="31"/>
  <c r="N315" i="2"/>
  <c r="O223" i="2"/>
  <c r="N253" i="2"/>
  <c r="O285" i="2"/>
  <c r="N222" i="2"/>
  <c r="N284" i="2"/>
  <c r="O254" i="2"/>
  <c r="P66" i="30"/>
  <c r="O286" i="2" s="1"/>
  <c r="O293" i="2"/>
  <c r="O294" i="2"/>
  <c r="P66" i="29"/>
  <c r="O255" i="2" s="1"/>
  <c r="O262" i="2"/>
  <c r="O263" i="2"/>
  <c r="P66" i="31"/>
  <c r="O317" i="2" s="1"/>
  <c r="O324" i="2"/>
  <c r="O325" i="2"/>
  <c r="P66" i="20"/>
  <c r="O224" i="2" s="1"/>
  <c r="O232" i="2"/>
  <c r="O231" i="2"/>
  <c r="O70" i="20"/>
  <c r="L67" i="20"/>
  <c r="L106" i="2"/>
  <c r="K30" i="2"/>
  <c r="L154" i="2"/>
  <c r="D29" i="19"/>
  <c r="F29" i="19" s="1"/>
  <c r="F28" i="19"/>
  <c r="R71" i="20"/>
  <c r="O145" i="2"/>
  <c r="F16" i="10"/>
  <c r="R540" i="2"/>
  <c r="R541" i="2"/>
  <c r="R476" i="2"/>
  <c r="R475" i="2"/>
  <c r="T600" i="2"/>
  <c r="T599" i="2"/>
  <c r="L29" i="2"/>
  <c r="J114" i="12"/>
  <c r="S375" i="2"/>
  <c r="S376" i="2"/>
  <c r="M70" i="3"/>
  <c r="N67" i="3"/>
  <c r="N70" i="3"/>
  <c r="M28" i="2" s="1"/>
  <c r="K28" i="2"/>
  <c r="T413" i="2"/>
  <c r="O101" i="2"/>
  <c r="O113" i="2"/>
  <c r="O112" i="2"/>
  <c r="O99" i="2"/>
  <c r="N71" i="4"/>
  <c r="M108" i="2"/>
  <c r="S412" i="2"/>
  <c r="S411" i="2"/>
  <c r="M29" i="2"/>
  <c r="M106" i="2"/>
  <c r="O67" i="5"/>
  <c r="N154" i="2"/>
  <c r="N150" i="2"/>
  <c r="N155" i="2"/>
  <c r="T346" i="2"/>
  <c r="T345" i="2"/>
  <c r="O161" i="2"/>
  <c r="T487" i="2"/>
  <c r="O160" i="2"/>
  <c r="O149" i="2"/>
  <c r="O147" i="2"/>
  <c r="O67" i="4"/>
  <c r="N107" i="2"/>
  <c r="N102" i="2"/>
  <c r="O97" i="2"/>
  <c r="S485" i="2"/>
  <c r="S486" i="2"/>
  <c r="N148" i="2"/>
  <c r="L71" i="3"/>
  <c r="S594" i="2"/>
  <c r="S595" i="2"/>
  <c r="R594" i="2"/>
  <c r="R595" i="2"/>
  <c r="S536" i="2"/>
  <c r="S535" i="2"/>
  <c r="T535" i="2"/>
  <c r="T536" i="2"/>
  <c r="R397" i="2"/>
  <c r="R396" i="2"/>
  <c r="O70" i="4"/>
  <c r="O66" i="3"/>
  <c r="G10" i="19" s="1"/>
  <c r="P66" i="5"/>
  <c r="P70" i="5" s="1"/>
  <c r="P66" i="4"/>
  <c r="O100" i="2" s="1"/>
  <c r="D96" i="17"/>
  <c r="E96" i="10"/>
  <c r="E96" i="17"/>
  <c r="F96" i="10"/>
  <c r="O71" i="5"/>
  <c r="F16" i="9"/>
  <c r="D96" i="8" l="1"/>
  <c r="G11" i="19"/>
  <c r="G12" i="19"/>
  <c r="G15" i="19"/>
  <c r="G16" i="19" s="1"/>
  <c r="G17" i="19" s="1"/>
  <c r="E17" i="19"/>
  <c r="F17" i="19"/>
  <c r="R403" i="2"/>
  <c r="R598" i="2"/>
  <c r="R597" i="2"/>
  <c r="R601" i="2"/>
  <c r="R399" i="2"/>
  <c r="R400" i="2"/>
  <c r="I161" i="11"/>
  <c r="I165" i="12"/>
  <c r="S460" i="2"/>
  <c r="H165" i="11"/>
  <c r="E90" i="9"/>
  <c r="H184" i="12"/>
  <c r="H185" i="12" s="1"/>
  <c r="H175" i="12"/>
  <c r="P70" i="30"/>
  <c r="P71" i="30" s="1"/>
  <c r="P67" i="31"/>
  <c r="P70" i="29"/>
  <c r="P71" i="29" s="1"/>
  <c r="P70" i="31"/>
  <c r="P71" i="31" s="1"/>
  <c r="P67" i="29"/>
  <c r="P67" i="30"/>
  <c r="O253" i="2"/>
  <c r="O284" i="2"/>
  <c r="O222" i="2"/>
  <c r="O315" i="2"/>
  <c r="P70" i="20"/>
  <c r="O67" i="20"/>
  <c r="N67" i="20"/>
  <c r="M30" i="2"/>
  <c r="L71" i="20"/>
  <c r="L30" i="2"/>
  <c r="R600" i="2"/>
  <c r="R599" i="2"/>
  <c r="S600" i="2"/>
  <c r="S599" i="2"/>
  <c r="R402" i="2"/>
  <c r="R401" i="2"/>
  <c r="S541" i="2"/>
  <c r="S540" i="2"/>
  <c r="T541" i="2"/>
  <c r="T540" i="2"/>
  <c r="L28" i="2"/>
  <c r="J114" i="11"/>
  <c r="N71" i="3"/>
  <c r="O70" i="3"/>
  <c r="N28" i="2" s="1"/>
  <c r="O71" i="4"/>
  <c r="N108" i="2"/>
  <c r="T485" i="2"/>
  <c r="T486" i="2"/>
  <c r="P67" i="5"/>
  <c r="O155" i="2"/>
  <c r="O154" i="2"/>
  <c r="O150" i="2"/>
  <c r="N106" i="2"/>
  <c r="T412" i="2"/>
  <c r="T411" i="2"/>
  <c r="P71" i="5"/>
  <c r="O156" i="2"/>
  <c r="P66" i="3"/>
  <c r="H10" i="19" s="1"/>
  <c r="O102" i="2"/>
  <c r="O107" i="2"/>
  <c r="O67" i="3"/>
  <c r="N29" i="2"/>
  <c r="O148" i="2"/>
  <c r="P67" i="4"/>
  <c r="P70" i="4"/>
  <c r="O106" i="2" s="1"/>
  <c r="H11" i="19" l="1"/>
  <c r="J11" i="19" s="1"/>
  <c r="J10" i="19"/>
  <c r="H15" i="19"/>
  <c r="H12" i="19"/>
  <c r="S459" i="2"/>
  <c r="E90" i="8"/>
  <c r="S458" i="2"/>
  <c r="S462" i="2"/>
  <c r="S466" i="2"/>
  <c r="E91" i="9"/>
  <c r="I165" i="11"/>
  <c r="T460" i="2"/>
  <c r="F90" i="9"/>
  <c r="I175" i="12"/>
  <c r="I184" i="12"/>
  <c r="I185" i="12" s="1"/>
  <c r="S386" i="2"/>
  <c r="H184" i="11"/>
  <c r="H185" i="11" s="1"/>
  <c r="H175" i="11"/>
  <c r="S461" i="2"/>
  <c r="S463" i="2"/>
  <c r="J161" i="11"/>
  <c r="J165" i="12"/>
  <c r="P70" i="3"/>
  <c r="O30" i="2" s="1"/>
  <c r="N30" i="2"/>
  <c r="P71" i="20"/>
  <c r="N71" i="20"/>
  <c r="O71" i="3"/>
  <c r="P67" i="3"/>
  <c r="O29" i="2"/>
  <c r="P71" i="4"/>
  <c r="O108" i="2"/>
  <c r="H16" i="19" l="1"/>
  <c r="J15" i="19"/>
  <c r="T386" i="2"/>
  <c r="I175" i="11"/>
  <c r="I184" i="11"/>
  <c r="I185" i="11" s="1"/>
  <c r="J165" i="11"/>
  <c r="J184" i="12"/>
  <c r="J185" i="12" s="1"/>
  <c r="J175" i="12"/>
  <c r="S389" i="2"/>
  <c r="S387" i="2"/>
  <c r="T463" i="2"/>
  <c r="T461" i="2"/>
  <c r="S464" i="2"/>
  <c r="E91" i="8"/>
  <c r="S465" i="2"/>
  <c r="S472" i="2"/>
  <c r="E93" i="9"/>
  <c r="S384" i="2"/>
  <c r="S385" i="2"/>
  <c r="S392" i="2"/>
  <c r="S388" i="2"/>
  <c r="T458" i="2"/>
  <c r="F90" i="8"/>
  <c r="T459" i="2"/>
  <c r="T462" i="2"/>
  <c r="F91" i="9"/>
  <c r="T466" i="2"/>
  <c r="O71" i="20"/>
  <c r="P67" i="20"/>
  <c r="O28" i="2"/>
  <c r="P71" i="3"/>
  <c r="I36" i="3"/>
  <c r="I39" i="5"/>
  <c r="J16" i="19" l="1"/>
  <c r="H17" i="19"/>
  <c r="T472" i="2"/>
  <c r="T465" i="2"/>
  <c r="F93" i="9"/>
  <c r="T464" i="2"/>
  <c r="F91" i="8"/>
  <c r="S477" i="2"/>
  <c r="E96" i="9"/>
  <c r="S471" i="2"/>
  <c r="S470" i="2"/>
  <c r="S391" i="2"/>
  <c r="S398" i="2"/>
  <c r="E93" i="8"/>
  <c r="S390" i="2"/>
  <c r="T389" i="2"/>
  <c r="T387" i="2"/>
  <c r="J175" i="11"/>
  <c r="J184" i="11"/>
  <c r="J185" i="11" s="1"/>
  <c r="T385" i="2"/>
  <c r="T384" i="2"/>
  <c r="T388" i="2"/>
  <c r="T392" i="2"/>
  <c r="H166" i="2"/>
  <c r="H167" i="2"/>
  <c r="I39" i="3"/>
  <c r="H169" i="2"/>
  <c r="H165" i="2"/>
  <c r="H171" i="2"/>
  <c r="H172" i="2"/>
  <c r="H173" i="2"/>
  <c r="S476" i="2" l="1"/>
  <c r="S475" i="2"/>
  <c r="T477" i="2"/>
  <c r="T470" i="2"/>
  <c r="F96" i="9"/>
  <c r="T471" i="2"/>
  <c r="E96" i="8"/>
  <c r="S397" i="2"/>
  <c r="S396" i="2"/>
  <c r="S403" i="2"/>
  <c r="T398" i="2"/>
  <c r="F93" i="8"/>
  <c r="T391" i="2"/>
  <c r="T390" i="2"/>
  <c r="I41" i="20"/>
  <c r="H164" i="2"/>
  <c r="H163" i="2"/>
  <c r="J36" i="3"/>
  <c r="S402" i="2" l="1"/>
  <c r="S401" i="2"/>
  <c r="F96" i="8"/>
  <c r="T396" i="2"/>
  <c r="T403" i="2"/>
  <c r="T397" i="2"/>
  <c r="T475" i="2"/>
  <c r="T476" i="2"/>
  <c r="H235" i="2"/>
  <c r="H234" i="2"/>
  <c r="J39" i="3"/>
  <c r="T402" i="2" l="1"/>
  <c r="T401" i="2"/>
  <c r="J41" i="20"/>
  <c r="I163" i="2"/>
  <c r="I164" i="2"/>
  <c r="I234" i="2" l="1"/>
  <c r="I2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L15" authorId="0" shapeId="0" xr:uid="{00000000-0006-0000-0600-000001000000}">
      <text>
        <r>
          <rPr>
            <b/>
            <sz val="9"/>
            <color indexed="81"/>
            <rFont val="Tahoma"/>
            <family val="2"/>
          </rPr>
          <t>Forfatter:</t>
        </r>
        <r>
          <rPr>
            <sz val="9"/>
            <color indexed="81"/>
            <rFont val="Tahoma"/>
            <family val="2"/>
          </rPr>
          <t xml:space="preserve">
Nytt bygg flysikringstårn NATCOM</t>
        </r>
      </text>
    </comment>
  </commentList>
</comments>
</file>

<file path=xl/sharedStrings.xml><?xml version="1.0" encoding="utf-8"?>
<sst xmlns="http://schemas.openxmlformats.org/spreadsheetml/2006/main" count="3094" uniqueCount="748">
  <si>
    <t>Legend for the Check sheet</t>
  </si>
  <si>
    <t>Cells highlighted in green indicate that the items checked are equal and different to 0</t>
  </si>
  <si>
    <t>Cells highlighted in pale yellow indicate that the items entering the check are blank or 0</t>
  </si>
  <si>
    <t>Cells highlighted in red indicate that the items checked are not equal</t>
  </si>
  <si>
    <t>Cells highlighted in pale yellow indicate that one of the items entering the check is blank or 0</t>
  </si>
  <si>
    <t>#DIV/0</t>
  </si>
  <si>
    <t>Cells highlighted in orange indicate formulae that resulted in error</t>
  </si>
  <si>
    <t>N/A</t>
  </si>
  <si>
    <t>Cells highlighted in white with grey "N/A" indicate that the check is not applicable for the given combination of year and/or RP</t>
  </si>
  <si>
    <t>Actual</t>
  </si>
  <si>
    <t>Determined</t>
  </si>
  <si>
    <t>INFORMATION ON COSTS AND UNIT COSTS - TABLE 1</t>
  </si>
  <si>
    <t>Rounding 
(dec. plcs)</t>
  </si>
  <si>
    <t>#</t>
  </si>
  <si>
    <t>Item</t>
  </si>
  <si>
    <t xml:space="preserve"> #001</t>
  </si>
  <si>
    <t>4.2</t>
  </si>
  <si>
    <t>Check that values in Table 1 Consolidated are sums of the same items across all the entities (in '000 NC)</t>
  </si>
  <si>
    <t>Total determined/actual costs (in '000 NC)</t>
  </si>
  <si>
    <t>Sum of Total determined/actual costs for all entities (in '000 NC)</t>
  </si>
  <si>
    <t xml:space="preserve"> #002</t>
  </si>
  <si>
    <t>1.6</t>
  </si>
  <si>
    <t>Check the sum of costs by nature (in '000 NC)</t>
  </si>
  <si>
    <t>Total costs by nature (in '000 NC)</t>
  </si>
  <si>
    <t>Sum of items 1.1 to 1.5 (in '000 NC)</t>
  </si>
  <si>
    <t xml:space="preserve"> #003</t>
  </si>
  <si>
    <t>2.10</t>
  </si>
  <si>
    <t>Check the sum of costs by service (in '000 NC)</t>
  </si>
  <si>
    <t>Total costs by service (in '000 NC)</t>
  </si>
  <si>
    <t>Sum of items 2.1 to 2.9 (in '000 NC)</t>
  </si>
  <si>
    <t xml:space="preserve"> #004</t>
  </si>
  <si>
    <t>Check that total costs by nature equals total costs by service (in '000 NC)</t>
  </si>
  <si>
    <t>#100</t>
  </si>
  <si>
    <t>5.1</t>
  </si>
  <si>
    <t>Check that inflation rate is not negative</t>
  </si>
  <si>
    <t>Inflation rate</t>
  </si>
  <si>
    <t xml:space="preserve"> #009</t>
  </si>
  <si>
    <t>5.2</t>
  </si>
  <si>
    <t>Check calculation of Determined/Actual inflation index (base 100 in 2017)</t>
  </si>
  <si>
    <t>Calculated price index</t>
  </si>
  <si>
    <t>Price Index</t>
  </si>
  <si>
    <t xml:space="preserve"> #017b</t>
  </si>
  <si>
    <t>5.5</t>
  </si>
  <si>
    <t>Total costs real terms / Total service units</t>
  </si>
  <si>
    <t>Unit Cost</t>
  </si>
  <si>
    <t>#063</t>
  </si>
  <si>
    <t>Check total costs after deduction of costs for exempted VFR</t>
  </si>
  <si>
    <t>Total determined/actual costs(in '000 NC)</t>
  </si>
  <si>
    <t>Total costs by service deducted by Costs for exempted VFR flights (in '000 NC)</t>
  </si>
  <si>
    <t>2.1</t>
  </si>
  <si>
    <t xml:space="preserve"> #014 RP3</t>
  </si>
  <si>
    <t>5.3</t>
  </si>
  <si>
    <t xml:space="preserve">Check total costs into real terms (in '000 NC) RP3 </t>
  </si>
  <si>
    <t>Total determined/actual costs after deduction of costs for exempted VFR flights / price index (in '000 NC)</t>
  </si>
  <si>
    <t>Total costs real terms (in '000 NC)</t>
  </si>
  <si>
    <t xml:space="preserve"> #016</t>
  </si>
  <si>
    <t>5.4</t>
  </si>
  <si>
    <t>Check that Service Units are the same for all entities (in '000)</t>
  </si>
  <si>
    <t>Total Service Units (Consolidated)</t>
  </si>
  <si>
    <t>Check calculation of the unit cost for RP3</t>
  </si>
  <si>
    <t xml:space="preserve"> #006</t>
  </si>
  <si>
    <t>Check that inflation rate for the entity is the same as at Charging Zone level (in %)</t>
  </si>
  <si>
    <t>Inflation rate (%) (ANSP)</t>
  </si>
  <si>
    <t>Inflation rate (%) (Consolidated)</t>
  </si>
  <si>
    <t xml:space="preserve"> #006b</t>
  </si>
  <si>
    <t>Check that inflation index for the entity is the same as at Charging Zone level (in %)</t>
  </si>
  <si>
    <t>Price Index (ANSP)</t>
  </si>
  <si>
    <t>Price Index (Consolidated)</t>
  </si>
  <si>
    <t xml:space="preserve"> #019</t>
  </si>
  <si>
    <t>3.5</t>
  </si>
  <si>
    <t>Check calculation of cost of capital pre-tax rate</t>
  </si>
  <si>
    <t>Cost of capital pre tax rate (%)</t>
  </si>
  <si>
    <t>Cost of capital / total asset base (%)</t>
  </si>
  <si>
    <t xml:space="preserve"> #020</t>
  </si>
  <si>
    <t>3.8</t>
  </si>
  <si>
    <t>Check proportion of financing through equity is coherent with components</t>
  </si>
  <si>
    <t>Proportion of financing through equity calculated from components is (in %):</t>
  </si>
  <si>
    <t>Proportion of financing through equity is (in %):</t>
  </si>
  <si>
    <t xml:space="preserve"> #018</t>
  </si>
  <si>
    <t>3.4</t>
  </si>
  <si>
    <t>Check total asset base (in '000 NC)</t>
  </si>
  <si>
    <t>Sum of assets (in '000 NC)</t>
  </si>
  <si>
    <t>Total asset base (in '000 NC)</t>
  </si>
  <si>
    <t>#065</t>
  </si>
  <si>
    <t>Check that no cost of capital is calculated if no asset base is reported</t>
  </si>
  <si>
    <t>Cost of capital (in '000 NC)</t>
  </si>
  <si>
    <t xml:space="preserve">Check the sum of costs by nature (in '000 NC) </t>
  </si>
  <si>
    <t>Total Service Units (NSA)</t>
  </si>
  <si>
    <t>All Entities</t>
  </si>
  <si>
    <t>Actual costs - Reference Period 3</t>
  </si>
  <si>
    <t>Cost details</t>
  </si>
  <si>
    <t>1.     Detail by nature (in nominal terms)</t>
  </si>
  <si>
    <t>1.1   Staff</t>
  </si>
  <si>
    <t xml:space="preserve">         of which, pension costs</t>
  </si>
  <si>
    <t>1.2   Other operating costs</t>
  </si>
  <si>
    <t>1.3   Depreciation</t>
  </si>
  <si>
    <t>1.4   Cost of capital</t>
  </si>
  <si>
    <t>1.5   Exceptional items</t>
  </si>
  <si>
    <t>1.6   Total costs</t>
  </si>
  <si>
    <t>Total          % n/n-1</t>
  </si>
  <si>
    <t>2.     Detail by service (in nominal terms)</t>
  </si>
  <si>
    <t>2.1   Air Traffic Management</t>
  </si>
  <si>
    <t>2.2   Communication</t>
  </si>
  <si>
    <t>2.3   Navigation</t>
  </si>
  <si>
    <t>2.4   Surveillance</t>
  </si>
  <si>
    <t>2.5   Search and rescue</t>
  </si>
  <si>
    <t>2.6   Aeronautical Information</t>
  </si>
  <si>
    <t>2.7   Meteorological services</t>
  </si>
  <si>
    <t>2.8   Supervision costs</t>
  </si>
  <si>
    <t>2.9   Other State costs</t>
  </si>
  <si>
    <t>2.10 Total costs</t>
  </si>
  <si>
    <t>3.   Complementary information (in nominal terms)</t>
  </si>
  <si>
    <t>Average asset base</t>
  </si>
  <si>
    <t>3.1  Net book val. fixed assets</t>
  </si>
  <si>
    <t>3.2  Adjustments total assets</t>
  </si>
  <si>
    <t>3.3  Net current assets</t>
  </si>
  <si>
    <t>3.4  Total asset base</t>
  </si>
  <si>
    <t>Cost of capital %</t>
  </si>
  <si>
    <t>3.5  Cost of capital pre tax rate</t>
  </si>
  <si>
    <t>3.6  Return on equity</t>
  </si>
  <si>
    <t>3.7  Average interest on debts</t>
  </si>
  <si>
    <t>3.8  Share of financing through equity</t>
  </si>
  <si>
    <t>Costs of common projects</t>
  </si>
  <si>
    <t>3.9  Common projects</t>
  </si>
  <si>
    <t xml:space="preserve">Costs of new and existing investments </t>
  </si>
  <si>
    <t>3.10  Depreciation</t>
  </si>
  <si>
    <t xml:space="preserve">3.11  Cost of capital </t>
  </si>
  <si>
    <t xml:space="preserve">3.12  Cost of leasing </t>
  </si>
  <si>
    <t xml:space="preserve">Eurocontrol costs </t>
  </si>
  <si>
    <t>3.13 Eurocontrol costs (Euro)</t>
  </si>
  <si>
    <t>3.14 Exchange rate (if applicable)</t>
  </si>
  <si>
    <t>3.15 Eurocontrol costs (national currency)</t>
  </si>
  <si>
    <t>4.  Total costs after deduction of costs for services to exempted flights (in nominal terms)</t>
  </si>
  <si>
    <t>4.1  Costs for exempted VFR flights</t>
  </si>
  <si>
    <t xml:space="preserve">4.2  Total determined/actual costs </t>
  </si>
  <si>
    <t>5.  Cost-efficiency KPI - Determined/Actual Unit Cost (in real terms)</t>
  </si>
  <si>
    <t>5.1  Inflation  %</t>
  </si>
  <si>
    <t>5.2  Inflation index (1)</t>
  </si>
  <si>
    <t>5.3  Total costs real terms (2)</t>
  </si>
  <si>
    <t>5.4 Total Service Units</t>
  </si>
  <si>
    <t>5.5 Unit cost in real terms prices (3)</t>
  </si>
  <si>
    <t>Costs and asset base items in '000  -  Service units in '000</t>
  </si>
  <si>
    <t xml:space="preserve">(2)   Determined costs (performance plan) and actual costs in real terms </t>
  </si>
  <si>
    <t>(3)   Determined unit costs (performance plan) and actual unit costs in real terms</t>
  </si>
  <si>
    <t>NSA</t>
  </si>
  <si>
    <t>2022 D</t>
  </si>
  <si>
    <t>2023 D</t>
  </si>
  <si>
    <t>2024 D</t>
  </si>
  <si>
    <t>YoY variation</t>
  </si>
  <si>
    <t xml:space="preserve">Table 2 - Unit rate calculation </t>
  </si>
  <si>
    <t>Reference Period 3</t>
  </si>
  <si>
    <t>Table 2 A - Adjustments relating to year n</t>
  </si>
  <si>
    <t>A. Cost-sharing</t>
  </si>
  <si>
    <t>Determined costs</t>
  </si>
  <si>
    <r>
      <t xml:space="preserve">1.1       Determined costs in nominal terms - VFR excl. - Table 1 </t>
    </r>
    <r>
      <rPr>
        <b/>
        <i/>
        <sz val="8"/>
        <rFont val="Calibri"/>
        <family val="2"/>
      </rPr>
      <t>(Art. 22)</t>
    </r>
  </si>
  <si>
    <t>Inflation adjustment calculation</t>
  </si>
  <si>
    <t>2.1       Determined costs subject to inflation adjustment</t>
  </si>
  <si>
    <t>2.2       Forecast inflation index - Table 1</t>
  </si>
  <si>
    <t>2.3       Actual inflation index  - Table 1</t>
  </si>
  <si>
    <t>2.4       Actual / forecast total inflation index (in %)</t>
  </si>
  <si>
    <r>
      <t xml:space="preserve">2.5       Inflation adjustment relating to year n </t>
    </r>
    <r>
      <rPr>
        <b/>
        <i/>
        <sz val="8"/>
        <rFont val="Calibri"/>
        <family val="2"/>
      </rPr>
      <t>(Art. 26)</t>
    </r>
  </si>
  <si>
    <t>Differences between determined and actual costs referred to in Article 28(4) to 28(6)</t>
  </si>
  <si>
    <r>
      <t xml:space="preserve">3.1       New and existing investments </t>
    </r>
    <r>
      <rPr>
        <i/>
        <sz val="8"/>
        <rFont val="Calibri"/>
        <family val="2"/>
      </rPr>
      <t>(Art. 28(4))</t>
    </r>
  </si>
  <si>
    <r>
      <t xml:space="preserve">3.3       Competent authorities and qualified entities costs </t>
    </r>
    <r>
      <rPr>
        <i/>
        <sz val="8"/>
        <rFont val="Calibri"/>
        <family val="2"/>
      </rPr>
      <t>(Art. 28(5))</t>
    </r>
  </si>
  <si>
    <r>
      <t xml:space="preserve">3.4       Eurocontrol costs </t>
    </r>
    <r>
      <rPr>
        <i/>
        <sz val="8"/>
        <rFont val="Calibri"/>
        <family val="2"/>
      </rPr>
      <t>(Art. 28(5))</t>
    </r>
  </si>
  <si>
    <r>
      <t xml:space="preserve">3.5       Pension costs </t>
    </r>
    <r>
      <rPr>
        <i/>
        <sz val="8"/>
        <rFont val="Calibri"/>
        <family val="2"/>
      </rPr>
      <t>(Art. 28(6))</t>
    </r>
  </si>
  <si>
    <r>
      <t xml:space="preserve">3.6       Interest on loans </t>
    </r>
    <r>
      <rPr>
        <i/>
        <sz val="8"/>
        <rFont val="Calibri"/>
        <family val="2"/>
      </rPr>
      <t>(Art. 28(6))</t>
    </r>
  </si>
  <si>
    <r>
      <t>3.7       Changes in law</t>
    </r>
    <r>
      <rPr>
        <i/>
        <sz val="8"/>
        <rFont val="Calibri"/>
        <family val="2"/>
      </rPr>
      <t xml:space="preserve"> (Art. 28(6))</t>
    </r>
  </si>
  <si>
    <r>
      <t xml:space="preserve">3.8       Differences between determined and actual costs relating to year n </t>
    </r>
    <r>
      <rPr>
        <b/>
        <i/>
        <sz val="8"/>
        <rFont val="Calibri"/>
        <family val="2"/>
      </rPr>
      <t>(Art. 28(4) to 28(6))</t>
    </r>
  </si>
  <si>
    <t>B. Traffic risk sharing</t>
  </si>
  <si>
    <t>Traffic risk sharing adjustment</t>
  </si>
  <si>
    <t>4.1       Determined costs subject to traffic risk sharing</t>
  </si>
  <si>
    <t>4.2       % deviation % referred to in Article 27(2) and 27(5)</t>
  </si>
  <si>
    <t>4.3       % additional revenue returned to users referred to in Article 27(3) and 27(5)</t>
  </si>
  <si>
    <t>4.4       % loss of revenue borne by airspace users referred to in Article 27(3) and 27(5)</t>
  </si>
  <si>
    <t xml:space="preserve">4.5       % deviation referred to in Article 27(4) </t>
  </si>
  <si>
    <t>4.6       Forecast total service units (performance plan)</t>
  </si>
  <si>
    <t>4.7       Actual total service units</t>
  </si>
  <si>
    <t>4.8       Actual / forecast total service units (in %)</t>
  </si>
  <si>
    <r>
      <t xml:space="preserve">4.9       Traffic risk sharing adjustment relating to year n </t>
    </r>
    <r>
      <rPr>
        <b/>
        <i/>
        <sz val="8"/>
        <rFont val="Calibri"/>
        <family val="2"/>
      </rPr>
      <t>(Art. 27(2) to 27(5))</t>
    </r>
  </si>
  <si>
    <t>Traffic adjustments</t>
  </si>
  <si>
    <r>
      <t xml:space="preserve">5.1      For determined costs not subject to traffic risk-sharing </t>
    </r>
    <r>
      <rPr>
        <i/>
        <sz val="8"/>
        <rFont val="Calibri"/>
        <family val="2"/>
      </rPr>
      <t>(Art. 27(8))</t>
    </r>
  </si>
  <si>
    <r>
      <t xml:space="preserve">5.2      Adjustments to year n unit rate not subject to traffic risk-sharing </t>
    </r>
    <r>
      <rPr>
        <i/>
        <sz val="8"/>
        <rFont val="Calibri"/>
        <family val="2"/>
      </rPr>
      <t>(Art. 27(9))</t>
    </r>
  </si>
  <si>
    <r>
      <t xml:space="preserve">5.3      Traffic adjustements relating to year n </t>
    </r>
    <r>
      <rPr>
        <b/>
        <i/>
        <sz val="8"/>
        <rFont val="Calibri"/>
        <family val="2"/>
      </rPr>
      <t>(Art. 27(8) and 27(9))</t>
    </r>
  </si>
  <si>
    <t>C. Financial incentive schemes on capacity and environment</t>
  </si>
  <si>
    <t>Adjustments relating to financial incentives</t>
  </si>
  <si>
    <r>
      <t xml:space="preserve">6.1      Financial incentives relating to capacity </t>
    </r>
    <r>
      <rPr>
        <i/>
        <sz val="8"/>
        <rFont val="Calibri"/>
        <family val="2"/>
      </rPr>
      <t>(Art. 11(3))</t>
    </r>
  </si>
  <si>
    <r>
      <t xml:space="preserve">6.2      Financial incentives relating to environment </t>
    </r>
    <r>
      <rPr>
        <i/>
        <sz val="8"/>
        <rFont val="Calibri"/>
        <family val="2"/>
      </rPr>
      <t>(Art. 11(4))</t>
    </r>
  </si>
  <si>
    <r>
      <t xml:space="preserve">6.3      Additional financial incentives relating to capacity </t>
    </r>
    <r>
      <rPr>
        <i/>
        <sz val="8"/>
        <rFont val="Calibri"/>
        <family val="2"/>
      </rPr>
      <t>(Art. 11(4))</t>
    </r>
  </si>
  <si>
    <r>
      <t xml:space="preserve">6.4      Financial incentives relating to year n </t>
    </r>
    <r>
      <rPr>
        <b/>
        <i/>
        <sz val="8"/>
        <rFont val="Calibri"/>
        <family val="2"/>
      </rPr>
      <t>(Art. 11(3) and 11(4))</t>
    </r>
  </si>
  <si>
    <t>D. Other adjustments</t>
  </si>
  <si>
    <t>Modulation of charges</t>
  </si>
  <si>
    <r>
      <t xml:space="preserve">7.1      Adjustment to ensure revenue neutrality for modulation of charges in year n </t>
    </r>
    <r>
      <rPr>
        <b/>
        <i/>
        <sz val="8"/>
        <rFont val="Calibri"/>
        <family val="2"/>
      </rPr>
      <t>(Art. 32(1))</t>
    </r>
  </si>
  <si>
    <t xml:space="preserve">Revision of the unit rate </t>
  </si>
  <si>
    <t>8.1       Temporary unit rate applied in year n</t>
  </si>
  <si>
    <r>
      <t xml:space="preserve">8.2       Difference in revenue due to the temporary application of unit rate in year n </t>
    </r>
    <r>
      <rPr>
        <b/>
        <i/>
        <sz val="8"/>
        <rFont val="Calibri"/>
        <family val="2"/>
      </rPr>
      <t>(Art. 29(5))</t>
    </r>
  </si>
  <si>
    <t>Cross-financing between charging zones</t>
  </si>
  <si>
    <t>9.1       Cross-financing to (-) / from (+) other charging zone(s) relating to year n</t>
  </si>
  <si>
    <t>Other revenues</t>
  </si>
  <si>
    <r>
      <t xml:space="preserve">10.1     Union assistance programmes </t>
    </r>
    <r>
      <rPr>
        <i/>
        <sz val="8"/>
        <rFont val="Calibri"/>
        <family val="2"/>
      </rPr>
      <t>(Art. 25(3)(a))</t>
    </r>
  </si>
  <si>
    <r>
      <t>10.2     National public funding</t>
    </r>
    <r>
      <rPr>
        <i/>
        <sz val="8"/>
        <rFont val="Calibri"/>
        <family val="2"/>
      </rPr>
      <t xml:space="preserve"> (Art. 25(3)(a))</t>
    </r>
  </si>
  <si>
    <r>
      <t>10.3     Commercial activities (</t>
    </r>
    <r>
      <rPr>
        <i/>
        <sz val="8"/>
        <rFont val="Calibri"/>
        <family val="2"/>
      </rPr>
      <t>Art. 25(3)(b))</t>
    </r>
  </si>
  <si>
    <r>
      <t xml:space="preserve">10.4     Revenues from contracts with airport operators </t>
    </r>
    <r>
      <rPr>
        <i/>
        <sz val="8"/>
        <rFont val="Calibri"/>
        <family val="2"/>
      </rPr>
      <t>(Art. 25(3)(c))</t>
    </r>
  </si>
  <si>
    <r>
      <t xml:space="preserve">10.5     Total other revenues relating to year n </t>
    </r>
    <r>
      <rPr>
        <b/>
        <i/>
        <sz val="8"/>
        <rFont val="Calibri"/>
        <family val="2"/>
      </rPr>
      <t>(Art. 25(3))</t>
    </r>
  </si>
  <si>
    <t>Application of a lower unit rate</t>
  </si>
  <si>
    <r>
      <t xml:space="preserve">11.1     Loss of revenue relating to the application of a lower unit rate in n </t>
    </r>
    <r>
      <rPr>
        <b/>
        <i/>
        <sz val="8"/>
        <rFont val="Calibri"/>
        <family val="2"/>
      </rPr>
      <t>(Art. 29(6))</t>
    </r>
  </si>
  <si>
    <t>12        Total adjustments relating to year n</t>
  </si>
  <si>
    <t>Table 2 B - Calculation of the unit rate for year n (1)</t>
  </si>
  <si>
    <r>
      <t xml:space="preserve">13.1     Determined costs in nominal terms - VFR excl. </t>
    </r>
    <r>
      <rPr>
        <i/>
        <sz val="8"/>
        <rFont val="Calibri"/>
        <family val="2"/>
      </rPr>
      <t>(Art. 25(2)(a))</t>
    </r>
  </si>
  <si>
    <r>
      <t xml:space="preserve">13.2     Inflation adjustment : amount carried over to year n </t>
    </r>
    <r>
      <rPr>
        <i/>
        <sz val="8"/>
        <rFont val="Calibri"/>
        <family val="2"/>
      </rPr>
      <t>(Art. 25(2)(b))</t>
    </r>
  </si>
  <si>
    <r>
      <t xml:space="preserve">13.3     Traffic risk sharing adjustment : amounts carried over to year n </t>
    </r>
    <r>
      <rPr>
        <i/>
        <sz val="8"/>
        <rFont val="Calibri"/>
        <family val="2"/>
      </rPr>
      <t>(Art. 25(2)(c))</t>
    </r>
  </si>
  <si>
    <r>
      <t>13.4     Differences in costs as per Art. 28(4) to (6) : amounts carried over to year n</t>
    </r>
    <r>
      <rPr>
        <sz val="8"/>
        <rFont val="Calibri"/>
        <family val="2"/>
      </rPr>
      <t xml:space="preserve"> </t>
    </r>
    <r>
      <rPr>
        <i/>
        <sz val="8"/>
        <rFont val="Calibri"/>
        <family val="2"/>
      </rPr>
      <t>(Art. 25(2)(d))</t>
    </r>
  </si>
  <si>
    <r>
      <t xml:space="preserve">13.5     Financial incentives : amounts carried over to year n </t>
    </r>
    <r>
      <rPr>
        <i/>
        <sz val="8"/>
        <rFont val="Calibri"/>
        <family val="2"/>
      </rPr>
      <t>(Art. 25(2)(e))</t>
    </r>
  </si>
  <si>
    <r>
      <t>13.6     Modulation of charges : amounts carried over to year n</t>
    </r>
    <r>
      <rPr>
        <i/>
        <sz val="8"/>
        <rFont val="Calibri"/>
        <family val="2"/>
      </rPr>
      <t xml:space="preserve"> (Art. 25(2)(f))</t>
    </r>
  </si>
  <si>
    <r>
      <t xml:space="preserve">13.7     Traffic adjustments : amounts carried over to year n </t>
    </r>
    <r>
      <rPr>
        <sz val="8"/>
        <rFont val="Calibri"/>
        <family val="2"/>
      </rPr>
      <t>(Art. 25(2)(g) and (h))</t>
    </r>
  </si>
  <si>
    <r>
      <t xml:space="preserve">13.8     Other revenues </t>
    </r>
    <r>
      <rPr>
        <i/>
        <sz val="8"/>
        <rFont val="Calibri"/>
        <family val="2"/>
      </rPr>
      <t>(Art. 25(2)(i))</t>
    </r>
  </si>
  <si>
    <r>
      <t xml:space="preserve">13.9     Cross-financing between charging zones </t>
    </r>
    <r>
      <rPr>
        <i/>
        <sz val="8"/>
        <rFont val="Calibri"/>
        <family val="2"/>
      </rPr>
      <t>(Art. 25(2)(j))</t>
    </r>
  </si>
  <si>
    <r>
      <t xml:space="preserve">13.10   Difference in revenue from temporary application of unit rate </t>
    </r>
    <r>
      <rPr>
        <i/>
        <sz val="8"/>
        <rFont val="Calibri"/>
        <family val="2"/>
      </rPr>
      <t>(Art. 25(2)(k))</t>
    </r>
  </si>
  <si>
    <t>13.11  Grand total for the calculation of year n unit rate</t>
  </si>
  <si>
    <t>13.12  Forecast total service units for year n (performance plan)</t>
  </si>
  <si>
    <t xml:space="preserve">13.13  Unit rate for year n as per Art. 25(2) (in national currency) </t>
  </si>
  <si>
    <t>13.14  Reduction as per Art. 29(6), where applicable (in national currency)</t>
  </si>
  <si>
    <t>14        Applicable unit rate for year n</t>
  </si>
  <si>
    <t>Costs, revenues and other amounts  in '000  -  Service units in '000</t>
  </si>
  <si>
    <r>
      <t xml:space="preserve">(1) Including adjustments relating to previous reference periods </t>
    </r>
    <r>
      <rPr>
        <i/>
        <sz val="8"/>
        <rFont val="Calibri"/>
        <family val="2"/>
      </rPr>
      <t>(Art. 25(2)(l))</t>
    </r>
  </si>
  <si>
    <t>Table 3 - Complementary information on adjustments</t>
  </si>
  <si>
    <t>FILTER</t>
  </si>
  <si>
    <t>Complementary information on adjustments</t>
  </si>
  <si>
    <t>Amounts</t>
  </si>
  <si>
    <t>After RP</t>
  </si>
  <si>
    <t>Inflation adjustment 2018</t>
  </si>
  <si>
    <t>Inflation adjustment 2019</t>
  </si>
  <si>
    <t>RP2</t>
  </si>
  <si>
    <t>Total inflation adjustment up to 2019</t>
  </si>
  <si>
    <t>Inflation adjustment 2022</t>
  </si>
  <si>
    <t>Inflation adjustment 2023</t>
  </si>
  <si>
    <t>Inflation adjustment 2024</t>
  </si>
  <si>
    <t>Total</t>
  </si>
  <si>
    <t>Total inflation Adjustment (Art. 26)*</t>
  </si>
  <si>
    <t>Traffic risk sharing up to 2017</t>
  </si>
  <si>
    <t>Traffic risk sharing 2018</t>
  </si>
  <si>
    <t>Traffic risk sharing 2019</t>
  </si>
  <si>
    <t>Total traffic risk sharing adjustements up to 2019</t>
  </si>
  <si>
    <t>Traffic risk sharing 2022</t>
  </si>
  <si>
    <t>Traffic risk sharing 2023</t>
  </si>
  <si>
    <t>Traffic risk sharing 2024</t>
  </si>
  <si>
    <t>Total traffic risk sharing adjustment (Art. 27(2) to 27(5))*</t>
  </si>
  <si>
    <t>Difference in investment costs 2022</t>
  </si>
  <si>
    <t>Difference in investment costs 2023</t>
  </si>
  <si>
    <t>Difference in investment costs 2024</t>
  </si>
  <si>
    <t>Total adjustment relating to investment costs (Art. 28(4))</t>
  </si>
  <si>
    <t>Difference in competent authorities and QEs costs 2022</t>
  </si>
  <si>
    <t>Difference in competent authorities and QEs costs 2023</t>
  </si>
  <si>
    <t>Difference in competent authorities and QEs costs 2024</t>
  </si>
  <si>
    <t>Total adjustment relating to competent authorities and QEs costs (Art. 28(5))</t>
  </si>
  <si>
    <t>Difference in Eurocontrol costs 2022</t>
  </si>
  <si>
    <t>Difference in Eurocontrol costs 2023</t>
  </si>
  <si>
    <t>Difference in Eurocontrol costs 2024</t>
  </si>
  <si>
    <t>Total adjustment relating to Eurocontrol costs (Art. 28(5))</t>
  </si>
  <si>
    <t>Difference in pension costs 2022</t>
  </si>
  <si>
    <t>Difference in pension costs 2023</t>
  </si>
  <si>
    <t>Difference in pension costs 2024</t>
  </si>
  <si>
    <t>Total adjustment relating to pension costs (Art. 28(6))</t>
  </si>
  <si>
    <t>Difference in interest on loans 2022</t>
  </si>
  <si>
    <t>Difference in interest on loans 2023</t>
  </si>
  <si>
    <t>Difference in interest on loans 2024</t>
  </si>
  <si>
    <t>Total adjustment relating to interest on loans (Art. 28(6))</t>
  </si>
  <si>
    <t>Costs relating to change in law 2022</t>
  </si>
  <si>
    <t>Costs relating to change in law 2023</t>
  </si>
  <si>
    <t>Costs relating to change in law 2024</t>
  </si>
  <si>
    <t>Total adjustment relating to change in law (Art. 28(6))</t>
  </si>
  <si>
    <t>Cost exempt from cost sharing up to 2017</t>
  </si>
  <si>
    <t>Cost exempt from cost sharing 2018</t>
  </si>
  <si>
    <t>Cost exempt from cost sharing 2019</t>
  </si>
  <si>
    <t>Total adjustment relating to cost exempt from previous RPs</t>
  </si>
  <si>
    <t>Financial incentives year up to 2017</t>
  </si>
  <si>
    <t>Financial incentives year 2018</t>
  </si>
  <si>
    <t>Financial incentives year 2019</t>
  </si>
  <si>
    <t>Total financial incentives up to 2019</t>
  </si>
  <si>
    <t>Financial incentives year 2022</t>
  </si>
  <si>
    <t>Financial incentives year 2023</t>
  </si>
  <si>
    <t>Financial incentives year 2024</t>
  </si>
  <si>
    <t>Total financial incentives (Art. 11(3) and 11(4))*</t>
  </si>
  <si>
    <t>Modulation of charges  up to 2017</t>
  </si>
  <si>
    <t>Modulation of charges  year 2018</t>
  </si>
  <si>
    <t>Modulation of charges  year 2019</t>
  </si>
  <si>
    <t>Total modulation of charges up 2019</t>
  </si>
  <si>
    <t>Modulation of charges 2022</t>
  </si>
  <si>
    <t>Modulation of charges 2023</t>
  </si>
  <si>
    <t>Modulation of charges 2024</t>
  </si>
  <si>
    <t>Total adjustment relating to modulation of charges (Art. 32(1))*</t>
  </si>
  <si>
    <t>Traffic adjustment up to 2017</t>
  </si>
  <si>
    <t>Traffic adjustment 2018</t>
  </si>
  <si>
    <t>Traffic adjustment 2019</t>
  </si>
  <si>
    <t>Total traffic adjustments up to 2019</t>
  </si>
  <si>
    <t>Traffic adjustment on adjustments from previous RPs 2022</t>
  </si>
  <si>
    <t>Traffic adjustment on adjustments from previous RPs 2023</t>
  </si>
  <si>
    <t>Traffic adjustment on adjustments from previous RPs 2024</t>
  </si>
  <si>
    <t>Total traffic adjustment on adjustments from previous reference periods</t>
  </si>
  <si>
    <t>Traffic adjustment 2022</t>
  </si>
  <si>
    <t>Traffic adjustment 2023</t>
  </si>
  <si>
    <t>Traffic adjustment 2024</t>
  </si>
  <si>
    <t>Total traffic adjustment (Art. 27(8) and 27(9))*</t>
  </si>
  <si>
    <t>Revenues received from Union assistance programmes up to 2017</t>
  </si>
  <si>
    <t>Revenues received from Union assistance programmes in 2018</t>
  </si>
  <si>
    <t>Revenues received from Union assistance programmes in 2019</t>
  </si>
  <si>
    <t>Total revenues received from Union assistance programmes up to 2019</t>
  </si>
  <si>
    <t>Revenues received from Union assistance programmes in 2022</t>
  </si>
  <si>
    <t>Revenues received from Union assistance programmes in 2023</t>
  </si>
  <si>
    <t>Revenues received from Union assistance programmes in 2024</t>
  </si>
  <si>
    <t>Total revenues received from Union assistance programmes (Art. 25(3)(a))*</t>
  </si>
  <si>
    <t>Revenues received from national public funding up to 2017</t>
  </si>
  <si>
    <t>Revenues received from national public funding in 2018</t>
  </si>
  <si>
    <t>Revenues received from national public funding in 2019</t>
  </si>
  <si>
    <t>Total revenues received from national public funding up to 2019</t>
  </si>
  <si>
    <t>Revenues received from national public funding in 2022</t>
  </si>
  <si>
    <t>Revenues received from national public funding in 2023</t>
  </si>
  <si>
    <t>Revenues received from national public funding in 2024</t>
  </si>
  <si>
    <t>Total revenues received from national public funding (Art. 25(3)(a))*</t>
  </si>
  <si>
    <t>Revenues from commercial activities up to 2017</t>
  </si>
  <si>
    <t>Revenues from commercial activities in 2018</t>
  </si>
  <si>
    <t>Revenues from commercial activities in 2019</t>
  </si>
  <si>
    <t>Total revenues from commercial activities up to 2019</t>
  </si>
  <si>
    <t>Revenues from commercial activities in 2022</t>
  </si>
  <si>
    <t>Revenues from commercial activities in 2023</t>
  </si>
  <si>
    <t>Revenues from commercial activities in 2024</t>
  </si>
  <si>
    <t>Total revenues from commercial activities (Art. 25(3)(b))*</t>
  </si>
  <si>
    <t>Revenues from contracts with airport operators up to 2017</t>
  </si>
  <si>
    <t>Revenues from contracts with airport operators in 2018</t>
  </si>
  <si>
    <t>Revenues from contracts with airport operators in 2019</t>
  </si>
  <si>
    <t>Total revenues from contracts with airport operators up to 2019</t>
  </si>
  <si>
    <t>Revenues from contracts with airport operators in 2022</t>
  </si>
  <si>
    <t>Revenues from contracts with airport operators in 2023</t>
  </si>
  <si>
    <t>Revenues from contracts with airport operators in 2024</t>
  </si>
  <si>
    <t>Total revenues from contracts with airport operators (Art. 25(3)(c))*</t>
  </si>
  <si>
    <t>Revenue difference - revision of UR 2022</t>
  </si>
  <si>
    <t>Revenue difference - revision of UR 2023</t>
  </si>
  <si>
    <t>Revenue difference - revision of UR 2024</t>
  </si>
  <si>
    <t>Total revenue differences from temporary application of UR (Art. 29(5))</t>
  </si>
  <si>
    <t>Total adjustments</t>
  </si>
  <si>
    <t>Amounts  in '000  (national currency)</t>
  </si>
  <si>
    <t>* Including carry-overs relating to the previous reference period(s)</t>
  </si>
  <si>
    <t>Baseline 2019</t>
  </si>
  <si>
    <t>2019 B</t>
  </si>
  <si>
    <t>National currency</t>
  </si>
  <si>
    <t>Determined costs - Performance Plan  - RP3</t>
  </si>
  <si>
    <t xml:space="preserve">                                                                                                                                                                                              Table 1 - Total Costs and Unit Costs</t>
  </si>
  <si>
    <t>Cross-financing to (-) / from (+) other charging zone(s) relating to 2022</t>
  </si>
  <si>
    <t>Cross-financing to (-) / from (+) other charging zone(s) relating to 2023</t>
  </si>
  <si>
    <t>Cross-financing to (-) / from (+) other charging zone(s) relating to 2024</t>
  </si>
  <si>
    <t>Total cross-financing to (-) / from (+) other charging zone(s)</t>
  </si>
  <si>
    <t>#087</t>
  </si>
  <si>
    <t>3.10</t>
  </si>
  <si>
    <t>Check that depreciation in item 3.10 is the same as in item 1.3 (in '000 NC)</t>
  </si>
  <si>
    <t>#088</t>
  </si>
  <si>
    <t>3.11</t>
  </si>
  <si>
    <t>Check that cost of capital in item 3.11 is calculated based on NBV of fixed assets (in '000 NC)</t>
  </si>
  <si>
    <t>Cost of capital - item 3.11 (in '000 NC)</t>
  </si>
  <si>
    <t>NBV of fixed assets * WACC rate (in '000 NC)</t>
  </si>
  <si>
    <t>CALCULATION OF UNIT RATES - TABLE 2</t>
  </si>
  <si>
    <t>Checks for T2 (consolidated)</t>
  </si>
  <si>
    <t xml:space="preserve"> #023</t>
  </si>
  <si>
    <t>1.1</t>
  </si>
  <si>
    <t>Consistency of determined costs in nominal terms (VFR excl.) with T1 Consolidated</t>
  </si>
  <si>
    <t>Determined costs in nominal terms - VFR excl. - Table 2 Item 1.1 (in '000 NC)</t>
  </si>
  <si>
    <t>Total determined/actual costs - Table 1 (in '000 NC)</t>
  </si>
  <si>
    <t xml:space="preserve"> #023b</t>
  </si>
  <si>
    <t>Consistency of determined costs subject to inflation adjustment with T1 Consolidated</t>
  </si>
  <si>
    <t>Determined costs subject to inflation adjustment - Table 2 (in '000 NC)</t>
  </si>
  <si>
    <t>Determined costs subject to inflation adjustment - Table 1 (in '000 NC)</t>
  </si>
  <si>
    <t xml:space="preserve"> #025</t>
  </si>
  <si>
    <t>2.2</t>
  </si>
  <si>
    <t>Consistency of forecast inflation index with T1 Consolidated</t>
  </si>
  <si>
    <t>Forecast inflation index - Table 2</t>
  </si>
  <si>
    <t>Forecast inflation index - Table 1</t>
  </si>
  <si>
    <t xml:space="preserve"> #023c</t>
  </si>
  <si>
    <t>4.1</t>
  </si>
  <si>
    <t>Consistency of determined costs subject to traffic risk-sharing with T1 Consolidated</t>
  </si>
  <si>
    <t>Determined costs subject to traffic risk-sharing - Table 2 (in '000 NC)</t>
  </si>
  <si>
    <t>Determined costs subject to traffic risk-sharing - Table 1 (in '000 NC)</t>
  </si>
  <si>
    <t xml:space="preserve"> #027</t>
  </si>
  <si>
    <t>4.6</t>
  </si>
  <si>
    <t>Consistency of forecast total service units (performance plan) with T1 Consolidated</t>
  </si>
  <si>
    <t>Forecast total service units - Table 2 (in '000)</t>
  </si>
  <si>
    <t>Forecast total service units - Table 1 (in '000)</t>
  </si>
  <si>
    <t xml:space="preserve"> #039</t>
  </si>
  <si>
    <t>10.5</t>
  </si>
  <si>
    <t>Sum of other revenues relating to year n</t>
  </si>
  <si>
    <t>Total other revenues relating to year n (in '000 NC)</t>
  </si>
  <si>
    <t>Sum of items 10.1 to 10.4 (in '000 NC)</t>
  </si>
  <si>
    <t>13.1</t>
  </si>
  <si>
    <t>Determined costs in nominal terms (VFR excl.)</t>
  </si>
  <si>
    <t>Determined costs in nominal terms - Item 13.1 (in '000 NC)</t>
  </si>
  <si>
    <t>Determined costs in nominal terms - Item 1.1 (in '000 NC)</t>
  </si>
  <si>
    <t>#071</t>
  </si>
  <si>
    <t>13.2</t>
  </si>
  <si>
    <t>Consistency of inflation adjustment carried-over to unit rate year n with T3</t>
  </si>
  <si>
    <t>Amounts carried-over from Table 2 (in '000 NC)</t>
  </si>
  <si>
    <t>Amounts carried-over from Table 3 (in '000 NC)</t>
  </si>
  <si>
    <t>#073</t>
  </si>
  <si>
    <t>13.3</t>
  </si>
  <si>
    <t>Consistency of traffic risk-sharing adjustment carried-over to unit rate year n with T3</t>
  </si>
  <si>
    <t>#074</t>
  </si>
  <si>
    <t>13.4</t>
  </si>
  <si>
    <t>Consistency of costs exempt from cost-sharing carried-over to unit rate year n with T3</t>
  </si>
  <si>
    <t>#075</t>
  </si>
  <si>
    <t>13.5</t>
  </si>
  <si>
    <t>Consistency of financial incentives carried-over to unit rate year n with T3</t>
  </si>
  <si>
    <t>#076</t>
  </si>
  <si>
    <t>13.6</t>
  </si>
  <si>
    <t>Consistency of modulation of charges carried-over to unit rate year n with T3</t>
  </si>
  <si>
    <t>#077</t>
  </si>
  <si>
    <t>13.7</t>
  </si>
  <si>
    <t>Consistency of traffic adjustment carried-over to unit rate year n with T3</t>
  </si>
  <si>
    <t>#079</t>
  </si>
  <si>
    <t>13.8</t>
  </si>
  <si>
    <t>Consistency of other revenues carried-over to unit rate year n with T3</t>
  </si>
  <si>
    <t>#080</t>
  </si>
  <si>
    <t>13.9</t>
  </si>
  <si>
    <t>Consistency of cross-financing carried-over to unit rate year n with T3</t>
  </si>
  <si>
    <t>#078b</t>
  </si>
  <si>
    <t>13.10</t>
  </si>
  <si>
    <t>Consistency of revenue differences from temporary application of UR with T3</t>
  </si>
  <si>
    <t>#070</t>
  </si>
  <si>
    <t>13.2-13.10</t>
  </si>
  <si>
    <t>Consistency of total adjustments carried over to unit rate year n with T3</t>
  </si>
  <si>
    <t>Sum of amounts carried-over from Table 2 (in '000 NC)</t>
  </si>
  <si>
    <t xml:space="preserve"> #040</t>
  </si>
  <si>
    <t>13.11</t>
  </si>
  <si>
    <t>Grand total for the calculation of year n unit rate</t>
  </si>
  <si>
    <t>Grand total for the calculation of year n unit rate (in '000 NC)</t>
  </si>
  <si>
    <t>Sum of items 13.1 to 13.10 (in '000 NC)</t>
  </si>
  <si>
    <t xml:space="preserve"> #027b</t>
  </si>
  <si>
    <t>13.12</t>
  </si>
  <si>
    <t>Forecast total service units for year n (performance plan)</t>
  </si>
  <si>
    <t>Forecast total service units - Item  13.12 (in '000)</t>
  </si>
  <si>
    <t>Forecast total service units - Item  4.6 (in '000)</t>
  </si>
  <si>
    <t xml:space="preserve"> #081</t>
  </si>
  <si>
    <t>13.13</t>
  </si>
  <si>
    <t>Calculation of the unit rate for year n</t>
  </si>
  <si>
    <t>Unit Rate for year n</t>
  </si>
  <si>
    <t>Grand total for the calculation of year n unit rate / Forecast total service units</t>
  </si>
  <si>
    <t xml:space="preserve"> #081b</t>
  </si>
  <si>
    <t>14</t>
  </si>
  <si>
    <t>Calculation of the applicable unit rate for year n</t>
  </si>
  <si>
    <t>Applicable unit rate for year n</t>
  </si>
  <si>
    <t>Unit Rate for year n - Reduction as per Art. 29(6)</t>
  </si>
  <si>
    <t>Checks for T2 ANSP</t>
  </si>
  <si>
    <t xml:space="preserve"> #089</t>
  </si>
  <si>
    <t>% of traffic deviation set as deadband is 2%</t>
  </si>
  <si>
    <t>% of traffic deviation</t>
  </si>
  <si>
    <t xml:space="preserve"> #035</t>
  </si>
  <si>
    <t>4.3</t>
  </si>
  <si>
    <t>% of TRS additional revenue returned to users is 70%</t>
  </si>
  <si>
    <t>% additional revenue returned to users in year n+2</t>
  </si>
  <si>
    <t xml:space="preserve"> #036</t>
  </si>
  <si>
    <t>4.4</t>
  </si>
  <si>
    <t>% of TRS loss borne by users is 70%</t>
  </si>
  <si>
    <t>% loss of revenue borne by airspace users in year n+2</t>
  </si>
  <si>
    <t xml:space="preserve"> #090</t>
  </si>
  <si>
    <t>4.5</t>
  </si>
  <si>
    <t>% of traffic deviation set as threshold is 10%</t>
  </si>
  <si>
    <t>Checks for T2 MET</t>
  </si>
  <si>
    <t>Checks for T2 NSA</t>
  </si>
  <si>
    <t>Checks for T3 (consolidated)</t>
  </si>
  <si>
    <t>i</t>
  </si>
  <si>
    <t>Total adjustments relating to year n to be carried-over</t>
  </si>
  <si>
    <t>Sum of amounts to be carried-over from Table 2 (in '000 NC)</t>
  </si>
  <si>
    <t>Sum of amounts to be carried-over from Table 3 (in '000 NC)</t>
  </si>
  <si>
    <t>ii</t>
  </si>
  <si>
    <t>Inflation adjustment</t>
  </si>
  <si>
    <t>Amounts to be carried-over from Table 2 (in '000 NC)</t>
  </si>
  <si>
    <t>Amounts to be carried-over from Table 3 (in '000 NC)</t>
  </si>
  <si>
    <t>iii</t>
  </si>
  <si>
    <t>Costs exempt</t>
  </si>
  <si>
    <t>iv</t>
  </si>
  <si>
    <t>Traffic risk-sharing</t>
  </si>
  <si>
    <t>v</t>
  </si>
  <si>
    <t>Traffic adjustment</t>
  </si>
  <si>
    <t>vi</t>
  </si>
  <si>
    <t>Financial incentives</t>
  </si>
  <si>
    <t>vii</t>
  </si>
  <si>
    <t>viii</t>
  </si>
  <si>
    <t>Revision of the unit rate</t>
  </si>
  <si>
    <t>#083</t>
  </si>
  <si>
    <t>ix</t>
  </si>
  <si>
    <t>Cross-financing</t>
  </si>
  <si>
    <t>#084</t>
  </si>
  <si>
    <t>#085</t>
  </si>
  <si>
    <t>xi</t>
  </si>
  <si>
    <t>Checks for T3 ANSP</t>
  </si>
  <si>
    <t>Checks for T3 MET</t>
  </si>
  <si>
    <t>Checks for T3 NSA</t>
  </si>
  <si>
    <t>#091</t>
  </si>
  <si>
    <t>Check that pension costs (in '000 NC) are filled in and different from 0</t>
  </si>
  <si>
    <t>x</t>
  </si>
  <si>
    <t>Check that adjustments from current and future years are not anticipatively included in T3 and are equal to 0</t>
  </si>
  <si>
    <t>Sum of adjustments (in '000 NC)</t>
  </si>
  <si>
    <t>2020/2021</t>
  </si>
  <si>
    <t>(1)  Inflation index - Base 100 in 2017</t>
  </si>
  <si>
    <t>DELETED</t>
  </si>
  <si>
    <t>2020-2021</t>
  </si>
  <si>
    <t>Traffic risk sharing 2020-2021 (exceptional measures)</t>
  </si>
  <si>
    <t>Difference in investment costs 2020-2021 (exceptional measures)</t>
  </si>
  <si>
    <t>Difference in competent authorities and QEs costs 2020-2021 (exc.meas.)</t>
  </si>
  <si>
    <t>Difference in Eurocontrol costs 2020-2021 (exceptional measures)</t>
  </si>
  <si>
    <t>Difference in pension costs 2020-2021 (exceptional measures)</t>
  </si>
  <si>
    <t>Difference in interest on loans 2020-2021 (exceptional measures)</t>
  </si>
  <si>
    <t>Costs relating to change in law 2020-2021 (exceptional measures)</t>
  </si>
  <si>
    <t>Traffic adjustment 2020-2021 (exceptional measures)</t>
  </si>
  <si>
    <t>Inflation adjustment 2020-2021</t>
  </si>
  <si>
    <t>Cross-financing to (-) / from (+) other charging zone(s) 2020-2021</t>
  </si>
  <si>
    <t>Revenue difference - revision of UR 2020-2021</t>
  </si>
  <si>
    <t>Revenues from contracts with airport operators in 2020-2021</t>
  </si>
  <si>
    <t>Revenues from commercial activities in 2020-2021</t>
  </si>
  <si>
    <t>Revenues received from national public funding in 2020-2021</t>
  </si>
  <si>
    <t>Revenues received from Union assistance programmes in 2020-2021</t>
  </si>
  <si>
    <t>Modulation of charges 2020-2021</t>
  </si>
  <si>
    <t>a) RP3 revised cost-efficiency performance targets (IR 2020/1627)</t>
  </si>
  <si>
    <t xml:space="preserve">       RP3 revised cost-efficiency targets (determined 2020-2024)</t>
  </si>
  <si>
    <t>2020/2021 D</t>
  </si>
  <si>
    <t>vs. 2019 B</t>
  </si>
  <si>
    <r>
      <rPr>
        <vertAlign val="superscript"/>
        <sz val="11"/>
        <rFont val="Calibri"/>
        <family val="2"/>
        <scheme val="minor"/>
      </rPr>
      <t>1</t>
    </r>
    <r>
      <rPr>
        <sz val="11"/>
        <rFont val="Calibri"/>
        <family val="2"/>
        <scheme val="minor"/>
      </rPr>
      <t xml:space="preserve"> Average exchange rate 2017 (1 EUR=)</t>
    </r>
  </si>
  <si>
    <t>b) Information on the baseline values for the determined costs and the determined unit costs</t>
  </si>
  <si>
    <t>Actuals 2019</t>
  </si>
  <si>
    <t>2019 Baseline</t>
  </si>
  <si>
    <t>2019 A</t>
  </si>
  <si>
    <t>adjustments</t>
  </si>
  <si>
    <t>Footnote 2</t>
  </si>
  <si>
    <t>Footnote 3</t>
  </si>
  <si>
    <t>Total determined/actual costs after deduction of costs for exempted VFR flights / price index (in '000 NC) - Note: (check sum for combined year 2020-2021)</t>
  </si>
  <si>
    <t>Total costs by nature (in '000 NC) - Note: (check sum for combined year 2020-2021)</t>
  </si>
  <si>
    <t>Sum of items 1.1 to 1.5 (in '000 NC) - Note: (check sum for combined year 2020-2021)</t>
  </si>
  <si>
    <t>Total costs by service (in '000 NC) - Note: (check sum for combined year 2020-2021)</t>
  </si>
  <si>
    <t>Sum of items 2.1 to 2.9 (in '000 NC) - Note: (check sum for combined year 2020-2021)</t>
  </si>
  <si>
    <t>Pension costs (in '000 NC) - Note: (check sum for combined year 2020-2021)</t>
  </si>
  <si>
    <t>Total Service Units (ANSP) - Note: (check sum for combined year 2020-2021)</t>
  </si>
  <si>
    <t>Total Service Units (Consolidated) - Note: (check sum for combined year 2020-2021)</t>
  </si>
  <si>
    <t>Depreciation - item 1.3 (in '000 NC) - Note: (check sum for combined year 2020-2021)</t>
  </si>
  <si>
    <t>Depreciation - item 3.10 (in '000 NC) - Note: (check sum for combined year 2020-2021)</t>
  </si>
  <si>
    <t>Amounts carried-over from Table 3 (in '000 NC) - Note: (check sum for combined year 2020-2021)</t>
  </si>
  <si>
    <t>Sum of amounts carried-over from Table 3 (in '000 NC) - Note: (check sum for combined year 2020-2021)</t>
  </si>
  <si>
    <t>Determined costs subject to traffic risk-sharing - Table 2 (in '000 NC) is equal to 0</t>
  </si>
  <si>
    <t xml:space="preserve"> #101</t>
  </si>
  <si>
    <t>13.14</t>
  </si>
  <si>
    <t>Reduction as per Art. 29(6)</t>
  </si>
  <si>
    <t>Reduction as per Art. 29(6) is &lt;=0</t>
  </si>
  <si>
    <t>Note: Adjustments relating to RP3 are to be calculated and carried forward only once the RP3 performance plan has been adopted in accordance with Article 16 (a) or (b)</t>
  </si>
  <si>
    <t>#104</t>
  </si>
  <si>
    <t>Amounts to be carried-over from Table 3 (in '000 NC) are &lt;=0</t>
  </si>
  <si>
    <t>Consistency of determined costs in nominal terms (VFR excl.) with T1</t>
  </si>
  <si>
    <t>Consistency of determined costs subject to inflation adjustment with T1</t>
  </si>
  <si>
    <t>Consistency of forecast inflation index with T1</t>
  </si>
  <si>
    <t>Consistency of determined costs subject to traffic risk-sharing with T1</t>
  </si>
  <si>
    <t>Consistency of forecast total service units (performance plan) with T1</t>
  </si>
  <si>
    <t>Actual costs 2015-2019</t>
  </si>
  <si>
    <t>Terminal charging zone</t>
  </si>
  <si>
    <r>
      <t xml:space="preserve">Total </t>
    </r>
    <r>
      <rPr>
        <sz val="11"/>
        <color indexed="8"/>
        <rFont val="Calibri"/>
        <family val="2"/>
      </rPr>
      <t>terminal</t>
    </r>
    <r>
      <rPr>
        <sz val="11"/>
        <rFont val="Calibri"/>
        <family val="2"/>
      </rPr>
      <t xml:space="preserve"> costs in nominal terms (in national currency)</t>
    </r>
  </si>
  <si>
    <r>
      <t xml:space="preserve">Total </t>
    </r>
    <r>
      <rPr>
        <b/>
        <sz val="11"/>
        <color indexed="8"/>
        <rFont val="Calibri"/>
        <family val="2"/>
      </rPr>
      <t>terminal</t>
    </r>
    <r>
      <rPr>
        <b/>
        <sz val="11"/>
        <rFont val="Calibri"/>
        <family val="2"/>
      </rPr>
      <t xml:space="preserve"> costs in real terms (in national currency at 2017 prices)</t>
    </r>
  </si>
  <si>
    <r>
      <t xml:space="preserve">Total terminal costs in real terms (in EUR2017) </t>
    </r>
    <r>
      <rPr>
        <b/>
        <vertAlign val="superscript"/>
        <sz val="11"/>
        <rFont val="Calibri"/>
        <family val="2"/>
      </rPr>
      <t>1</t>
    </r>
  </si>
  <si>
    <r>
      <t xml:space="preserve">Total </t>
    </r>
    <r>
      <rPr>
        <sz val="11"/>
        <color indexed="8"/>
        <rFont val="Calibri"/>
        <family val="2"/>
      </rPr>
      <t>terminal</t>
    </r>
    <r>
      <rPr>
        <sz val="11"/>
        <rFont val="Calibri"/>
        <family val="2"/>
      </rPr>
      <t xml:space="preserve"> Service Units (TNSU)</t>
    </r>
  </si>
  <si>
    <t>Real terminal unit costs (in national currency at 2017 prices)</t>
  </si>
  <si>
    <r>
      <t xml:space="preserve">Real terminal unit costs (in EUR2017) </t>
    </r>
    <r>
      <rPr>
        <b/>
        <vertAlign val="superscript"/>
        <sz val="11"/>
        <rFont val="Calibri"/>
        <family val="2"/>
      </rPr>
      <t>1</t>
    </r>
  </si>
  <si>
    <t>Total terminal costs in nominal terms (in national currency)</t>
  </si>
  <si>
    <t>Total terminal costs in real terms (in national currency at 2017 prices)</t>
  </si>
  <si>
    <t>Total terminal Service Units (TNSU)</t>
  </si>
  <si>
    <t>Total Service Units (MET) - Note: (check sum for combined year 2020-2021)</t>
  </si>
  <si>
    <t>Inflation rate (%) (MET)</t>
  </si>
  <si>
    <t>Price Index (MET)</t>
  </si>
  <si>
    <t xml:space="preserve"> #067</t>
  </si>
  <si>
    <t>Check the sum of costs by airports (in '000 NC)</t>
  </si>
  <si>
    <t>Total determined/actual costs in T1 Consolidated (in '000 NC)</t>
  </si>
  <si>
    <t>Sum of items 4.2 for all airports (in '000 NC)</t>
  </si>
  <si>
    <t xml:space="preserve"> #067_1.1</t>
  </si>
  <si>
    <t>Check the sum of Staff costs by airports (in '000 NC)</t>
  </si>
  <si>
    <t>Staff costs in T1 Consolidated (in '000 NC)</t>
  </si>
  <si>
    <t>Sum of items 1.1 for all airports (in '000 NC)</t>
  </si>
  <si>
    <t xml:space="preserve"> #067_1.2</t>
  </si>
  <si>
    <t>1.2</t>
  </si>
  <si>
    <t>Check the sum of Other operating costs by airports (in '000 NC)</t>
  </si>
  <si>
    <t>Other operating costs in T1 Consolidated (in '000 NC)</t>
  </si>
  <si>
    <t>Sum of items 1.2 for all airports (in '000 NC)</t>
  </si>
  <si>
    <t xml:space="preserve"> #067_1.3</t>
  </si>
  <si>
    <t>1.3</t>
  </si>
  <si>
    <t>Check the sum of Depreciation by airports (in '000 NC)</t>
  </si>
  <si>
    <t>Depreciation in T1 Consolidated (in '000 NC)</t>
  </si>
  <si>
    <t>Sum of items 1.3 for all airports (in '000 NC)</t>
  </si>
  <si>
    <t xml:space="preserve"> #067_1.4</t>
  </si>
  <si>
    <t>1.4</t>
  </si>
  <si>
    <t>Check the sum of Cost of capital by airports (in '000 NC)</t>
  </si>
  <si>
    <t>Cost of capital in T1 Consolidated (in '000 NC)</t>
  </si>
  <si>
    <t>Sum of items 1.4 for all airports (in '000 NC)</t>
  </si>
  <si>
    <t xml:space="preserve"> #067_1.5</t>
  </si>
  <si>
    <t>1.5</t>
  </si>
  <si>
    <t>Check the sum of Exceptional items by airports (in '000 NC)</t>
  </si>
  <si>
    <t>Exceptional items in T1 Consolidated (in '000 NC)</t>
  </si>
  <si>
    <t>Sum of items 1.5 for all airports (in '000 NC)</t>
  </si>
  <si>
    <t xml:space="preserve"> #067_2.1</t>
  </si>
  <si>
    <t>Check the sum of Air Traffic Management by airports (in '000 NC)</t>
  </si>
  <si>
    <t>Air Traffic Management in T1 Consolidated (in '000 NC)</t>
  </si>
  <si>
    <t>Sum of items 2.1 for all airports (in '000 NC)</t>
  </si>
  <si>
    <t xml:space="preserve"> #067_2.2</t>
  </si>
  <si>
    <t>Check the sum of Communication by airports (in '000 NC)</t>
  </si>
  <si>
    <t>Communication in T1 Consolidated (in '000 NC)</t>
  </si>
  <si>
    <t>Sum of items 2.2 for all airports (in '000 NC)</t>
  </si>
  <si>
    <t xml:space="preserve"> #067_2.3</t>
  </si>
  <si>
    <t>2.3</t>
  </si>
  <si>
    <t>Check the sum of Navigation by airports (in '000 NC)</t>
  </si>
  <si>
    <t>Navigation in T1 Consolidated (in '000 NC)</t>
  </si>
  <si>
    <t>Sum of items 2.3 for all airports (in '000 NC)</t>
  </si>
  <si>
    <t xml:space="preserve"> #067_2.4</t>
  </si>
  <si>
    <t>2.4</t>
  </si>
  <si>
    <t>Check the sum of Surveillance by airports (in '000 NC)</t>
  </si>
  <si>
    <t>Surveillance in T1 Consolidated (in '000 NC)</t>
  </si>
  <si>
    <t>Sum of items 2.4 for all airports (in '000 NC)</t>
  </si>
  <si>
    <t xml:space="preserve"> #067_2.5</t>
  </si>
  <si>
    <t>2.5</t>
  </si>
  <si>
    <t>Check the sum of Search and Rescue by airports (in '000 NC)</t>
  </si>
  <si>
    <t>Search and Rescue in T1 Consolidated (in '000 NC)</t>
  </si>
  <si>
    <t>Sum of items 2.5 for all airports (in '000 NC)</t>
  </si>
  <si>
    <t xml:space="preserve"> #067_2.6</t>
  </si>
  <si>
    <t>2.6</t>
  </si>
  <si>
    <t>Check the sum of Aeronautical Information by airports (in '000 NC)</t>
  </si>
  <si>
    <t>Aeronautical Information in T1 Consolidated (in '000 NC)</t>
  </si>
  <si>
    <t>Sum of items 2.6 for all airports (in '000 NC)</t>
  </si>
  <si>
    <t xml:space="preserve"> #067_2.7</t>
  </si>
  <si>
    <t>2.7</t>
  </si>
  <si>
    <t>Check the sum of Meteorological services by airports (in '000 NC)</t>
  </si>
  <si>
    <t>Meteorological services in T1 Consolidated (in '000 NC)</t>
  </si>
  <si>
    <t>Sum of items 2.7 for all airports (in '000 NC)</t>
  </si>
  <si>
    <t xml:space="preserve"> #067_2.8</t>
  </si>
  <si>
    <t>2.8</t>
  </si>
  <si>
    <t>Check the sum of Supervision costs by airports (in '000 NC)</t>
  </si>
  <si>
    <t>Supervision costs in T1 Consolidated (in '000 NC)</t>
  </si>
  <si>
    <t>Sum of items 2.8 for all airports (in '000 NC)</t>
  </si>
  <si>
    <t xml:space="preserve"> #067_2.9</t>
  </si>
  <si>
    <t>2.9</t>
  </si>
  <si>
    <t>Check the sum of Other State costs by airports (in '000 NC)</t>
  </si>
  <si>
    <t>Other State costs in T1 Consolidated (in '000 NC)</t>
  </si>
  <si>
    <t>Sum of items 2.9 for all airports (in '000 NC)</t>
  </si>
  <si>
    <t xml:space="preserve"> #067b</t>
  </si>
  <si>
    <t>Total costs in real terms in T1 Consolidated (in '000 NC)</t>
  </si>
  <si>
    <t>Sum of items 5.3 for all airports (in '000 NC)</t>
  </si>
  <si>
    <t>Check that inflation rate for the airport is the same as at Charging Zone level (in %)</t>
  </si>
  <si>
    <t>Check that inflation index for the airport is the same as at Charging Zone level</t>
  </si>
  <si>
    <t>Inflation index (Consolidated)</t>
  </si>
  <si>
    <t>Cost of capital pre tax rate</t>
  </si>
  <si>
    <t xml:space="preserve">Cost of capital / total asset base </t>
  </si>
  <si>
    <t>Scope of the Terminal Charging Zone</t>
  </si>
  <si>
    <t>Charging zone:</t>
  </si>
  <si>
    <t>ICAO Airport code</t>
  </si>
  <si>
    <t>Airport Name</t>
  </si>
  <si>
    <t xml:space="preserve">Total number of airports </t>
  </si>
  <si>
    <t>Reference Period 2</t>
  </si>
  <si>
    <t>Project reference
 (as per Grant Agreement)</t>
  </si>
  <si>
    <t>Project title</t>
  </si>
  <si>
    <t>Value of funded project 
in '000 Euro</t>
  </si>
  <si>
    <t>Amounts granted (as per GA)       in '000 Euro</t>
  </si>
  <si>
    <t>Common project y/n</t>
  </si>
  <si>
    <t>Actual amounts received (charging zone) in '000 Euro</t>
  </si>
  <si>
    <t>For the   charging zone</t>
  </si>
  <si>
    <t>Project y/n</t>
  </si>
  <si>
    <t>Total in '000 Euro</t>
  </si>
  <si>
    <t>Total in '000 national currency</t>
  </si>
  <si>
    <t>Amounts reimbursed to airspace users through other revenues</t>
  </si>
  <si>
    <t>Amounts retained in respect of aministrative costs for the charging zone in '000 Euro</t>
  </si>
  <si>
    <t>Total to be reimbursed for the charging zone in '000 Euro</t>
  </si>
  <si>
    <t>Amounts reimbursed to users (charging zone) in '000 national currency</t>
  </si>
  <si>
    <t>Checks for T1 MET</t>
  </si>
  <si>
    <t>Checks for T1 NSA</t>
  </si>
  <si>
    <t>Checks for T1 (consolidated)</t>
  </si>
  <si>
    <t>Checks for T1 ANSP</t>
  </si>
  <si>
    <t xml:space="preserve"> #014b RP3</t>
  </si>
  <si>
    <t>Check that NSA cost details per airport are provided (in '000 NC)</t>
  </si>
  <si>
    <t>NSA depreciation and cost of capital allocated to airport</t>
  </si>
  <si>
    <t>Total depreciation and cost of capital in T1 NSA (in '000 NC)</t>
  </si>
  <si>
    <t>NSA depreciation and cost of capital allocated to airport (in '000 NC)</t>
  </si>
  <si>
    <t>Table 4 - Complementary information on common projects and on revenues from Union assistance programmes allocated to the charging zone</t>
  </si>
  <si>
    <t>Amounts received</t>
  </si>
  <si>
    <t>XXX #1</t>
  </si>
  <si>
    <t>XXX</t>
  </si>
  <si>
    <t>Y</t>
  </si>
  <si>
    <t>XXX #2</t>
  </si>
  <si>
    <t>XXX #3</t>
  </si>
  <si>
    <t>XXX #4</t>
  </si>
  <si>
    <t>NOK</t>
  </si>
  <si>
    <t>Norway - TCZ</t>
  </si>
  <si>
    <t>ENBR</t>
  </si>
  <si>
    <t>BERGEN/FLESLAND</t>
  </si>
  <si>
    <t>ENGM</t>
  </si>
  <si>
    <t>OSLO/GARDERMOEN</t>
  </si>
  <si>
    <t>ENZV</t>
  </si>
  <si>
    <t>STAVANGER/SOLA</t>
  </si>
  <si>
    <t>ENVA</t>
  </si>
  <si>
    <t>TRONDHEIM/VAERNES</t>
  </si>
  <si>
    <t>Currency: NOK</t>
  </si>
  <si>
    <t>Avinor ANS</t>
  </si>
  <si>
    <t>MET</t>
  </si>
  <si>
    <t>Checks for T1 ENBR</t>
  </si>
  <si>
    <t>Inflation rate (%) (ENBR)</t>
  </si>
  <si>
    <t>Inflation index (ENBR)</t>
  </si>
  <si>
    <t>Checks for T1 ENGM</t>
  </si>
  <si>
    <t>Inflation rate (%) (ENGM)</t>
  </si>
  <si>
    <t>Inflation index (ENGM)</t>
  </si>
  <si>
    <t>Checks for T1 ENZV</t>
  </si>
  <si>
    <t>Inflation rate (%) (ENZV)</t>
  </si>
  <si>
    <t>Inflation index (ENZV)</t>
  </si>
  <si>
    <t>Checks for T1 ENVA</t>
  </si>
  <si>
    <t>Inflation rate (%) (ENVA)</t>
  </si>
  <si>
    <t>Inflation index (ENVA)</t>
  </si>
  <si>
    <t xml:space="preserve"> #067_4.1</t>
  </si>
  <si>
    <t>Check the sum of Costs for exempted VFR flights by airports (in '000 NC)</t>
  </si>
  <si>
    <t>Costs for exempted VFR flights in T1 Consolidated (in '000 NC)</t>
  </si>
  <si>
    <t>Sum of items 4.1 for all airports (in '000 NC)</t>
  </si>
  <si>
    <t>(2) Unit rate as per Art. 25(2) applied temporary in 2020 (in national currency)</t>
  </si>
  <si>
    <t xml:space="preserve">      Unit rate as per Art. 25(2) applied temporary in 2021 (in national currency)</t>
  </si>
  <si>
    <t>3)  Reduction as per Art. 29(6) applied in 2020 (in national currency)</t>
  </si>
  <si>
    <t xml:space="preserve">      Reduction as per Art. 29(6) applied in 2021 (in national currency)</t>
  </si>
  <si>
    <t>4) Forecast service units used for the unit rate as per Art. 25(2) applied temporary in 2020</t>
  </si>
  <si>
    <t xml:space="preserve">     Forecast service units used for the unit rate as per Art. 25(2) applied temporary in 2021</t>
  </si>
  <si>
    <t>Traffic adjustment on adjustments from previous RPs 2020</t>
  </si>
  <si>
    <t>Traffic adjustment on adjustments from previous RPs 2021</t>
  </si>
  <si>
    <t xml:space="preserve">Estimates made on assumption </t>
  </si>
  <si>
    <t>that actual TSUs 2021 are equal to</t>
  </si>
  <si>
    <t>forecast and that the</t>
  </si>
  <si>
    <t>revised plan is adopted in 2022</t>
  </si>
  <si>
    <t xml:space="preserve">Estimates made on assumption that actual TSUs 2021 are equal to forecast </t>
  </si>
  <si>
    <t>and that the revised plan is adopted in 2022</t>
  </si>
  <si>
    <t>Adjustments from previous RPs</t>
  </si>
  <si>
    <t xml:space="preserve">RP3 adjustments </t>
  </si>
  <si>
    <t>1.</t>
  </si>
  <si>
    <t/>
  </si>
  <si>
    <t>2.</t>
  </si>
  <si>
    <t>13,10 Difference in revenue from temporary application of unit rate</t>
  </si>
  <si>
    <t>3.</t>
  </si>
  <si>
    <t>13.7 Traffic adjustments:amounts carried over to year 2022-2023</t>
  </si>
  <si>
    <t>Frevenue loss (deficit)  in 2020/2021 carried forward 2022-2023</t>
  </si>
  <si>
    <t>4.</t>
  </si>
  <si>
    <t>Revenue loss (deficite) 2020/2021 to be carried over to 2023-</t>
  </si>
  <si>
    <t>Frevenue loss (deficit)  in 2020/2021</t>
  </si>
  <si>
    <t>5.</t>
  </si>
  <si>
    <t>13.14  Reduction as per Art. 29(6) in 2022, according Avinor ANS</t>
  </si>
  <si>
    <t>Revenue loss (deficite) in 2022 as per art. 29 (6)</t>
  </si>
  <si>
    <t>6.</t>
  </si>
  <si>
    <t>Total revenue loss (deficite) in RP3 (Covid 19 measures)</t>
  </si>
  <si>
    <t>Total sum (2.+ 5.)</t>
  </si>
  <si>
    <t>Revenue loss (deficite) 2020/2021 illustrated through red. as per art 29(6) = -1 571,57 x273,6</t>
  </si>
  <si>
    <t>Frevenue loss (deficit)  in 2020/2021 not carried forward 2023-2029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</si>
</sst>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4">
    <numFmt numFmtId="41" formatCode="_-* #,##0_-;\-* #,##0_-;_-* &quot;-&quot;_-;_-@_-"/>
    <numFmt numFmtId="43" formatCode="_-* #,##0.00_-;\-* #,##0.00_-;_-* &quot;-&quot;??_-;_-@_-"/>
    <numFmt numFmtId="164" formatCode="_-* #,##0.00\ &quot;€&quot;_-;\-* #,##0.00\ &quot;€&quot;_-;_-* &quot;-&quot;??\ &quot;€&quot;_-;_-@_-"/>
    <numFmt numFmtId="165" formatCode="_-* #,##0.00\ _€_-;\-* #,##0.00\ _€_-;_-* &quot;-&quot;??\ _€_-;_-@_-"/>
    <numFmt numFmtId="166" formatCode="0.000"/>
    <numFmt numFmtId="167" formatCode="0.000%"/>
    <numFmt numFmtId="168" formatCode="_-* #,##0_-;\-* #,##0_-;_-* &quot;-&quot;??_-;_-@_-"/>
    <numFmt numFmtId="169" formatCode="#,##0.000"/>
    <numFmt numFmtId="170" formatCode="0.0%"/>
    <numFmt numFmtId="171" formatCode="#,##0.0"/>
    <numFmt numFmtId="172" formatCode="_(* #,##0.00_);_(* \(#,##0.00\);_(* &quot;-&quot;??_);_(@_)"/>
    <numFmt numFmtId="173" formatCode="0.0"/>
    <numFmt numFmtId="174" formatCode="#,##0.000000"/>
    <numFmt numFmtId="175" formatCode="\$#,##0.0,_);[Red]&quot;($&quot;#,##0.0,\)"/>
    <numFmt numFmtId="176" formatCode="#,##0.00%;[Red]\(#,##0.00%\);&quot;-&quot;"/>
    <numFmt numFmtId="177" formatCode="#,##0;[Red]\-#,##0;\-"/>
    <numFmt numFmtId="178" formatCode="_-* #,##0\ _€_-;\-* #,##0\ _€_-;_-* &quot;-&quot;??\ _€_-;_-@_-"/>
    <numFmt numFmtId="179" formatCode="#,##0;[Red]\(#,##0\);&quot;-&quot;"/>
    <numFmt numFmtId="180" formatCode="#,##0,_);[Red]\(#,##0,\)"/>
    <numFmt numFmtId="181" formatCode="#,##0.00;[Red]\(#,##0.00\);&quot;-&quot;"/>
    <numFmt numFmtId="182" formatCode="_(* #,##0_);_(* \(#,##0\)"/>
    <numFmt numFmtId="183" formatCode="\ \-\ \ "/>
    <numFmt numFmtId="184" formatCode="mmm\-yyyy"/>
    <numFmt numFmtId="185" formatCode="dd\ mmm\ yy"/>
    <numFmt numFmtId="186" formatCode="#,##0;\(#,##0\)"/>
    <numFmt numFmtId="187" formatCode="#,##0;\-#,##0;\-"/>
    <numFmt numFmtId="188" formatCode="#,##0_ ;[Red]\(#,##0\);\-\ "/>
    <numFmt numFmtId="189" formatCode="#,##0;\(#,##0\);\-"/>
    <numFmt numFmtId="190" formatCode="#,###\ ;[Red]\(#,###\);[Blue]0\ ;[Magenta]&quot;null value !&quot;"/>
    <numFmt numFmtId="191" formatCode="&quot;þ&quot;;&quot;ý&quot;;&quot;¨&quot;"/>
    <numFmt numFmtId="192" formatCode="&quot;þ&quot;;;&quot;o&quot;;"/>
    <numFmt numFmtId="193" formatCode="#,##0.0_);[Red]\(#,##0.0\)"/>
    <numFmt numFmtId="194" formatCode="#,##0.00\ ;[Red]\(#,##0.00\)"/>
    <numFmt numFmtId="195" formatCode="_-* #,##0.00\ _л_в_._-;\-* #,##0.00\ _л_в_._-;_-* &quot;-&quot;??\ _л_в_._-;_-@_-"/>
    <numFmt numFmtId="196" formatCode="_-* #,##0.00\ _F_-;\-* #,##0.00\ _F_-;_-* &quot;-&quot;??\ _F_-;_-@_-"/>
    <numFmt numFmtId="197" formatCode="\$#,##0_);[Red]&quot;($&quot;#,##0\)"/>
    <numFmt numFmtId="198" formatCode="\$#,##0.00_);[Red]&quot;($&quot;#,##0.00\)"/>
    <numFmt numFmtId="199" formatCode="_-&quot;£&quot;* #,##0.00_-;\-&quot;£&quot;* #,##0.00_-;_-&quot;£&quot;* &quot;-&quot;??_-;_-@_-"/>
    <numFmt numFmtId="200" formatCode="_(&quot;£&quot;* #,##0.00_);_(&quot;£&quot;* \(#,##0.00\);_(&quot;£&quot;* &quot;-&quot;??_);_(@_)"/>
    <numFmt numFmtId="201" formatCode="dd\-mmm\-yyyy;;"/>
    <numFmt numFmtId="202" formatCode="0.0;***;;"/>
    <numFmt numFmtId="203" formatCode="#,##0_);\(#,##0\);&quot;- &quot;;&quot;  &quot;@"/>
    <numFmt numFmtId="204" formatCode="_-* #,##0\ _D_M_-;\-* #,##0\ _D_M_-;_-* &quot;-&quot;\ _D_M_-;_-@_-"/>
    <numFmt numFmtId="205" formatCode="_-* #,##0.00\ _D_M_-;\-* #,##0.00\ _D_M_-;_-* &quot;-&quot;??\ _D_M_-;_-@_-"/>
    <numFmt numFmtId="206" formatCode="_-* #,##0.00\ _z_ł_-;\-* #,##0.00\ _z_ł_-;_-* &quot;-&quot;??\ _z_ł_-;_-@_-"/>
    <numFmt numFmtId="207" formatCode="[Green]&quot;é&quot;;[Red]&quot;ê&quot;;&quot;ù&quot;;"/>
    <numFmt numFmtId="208" formatCode="_(&quot;€&quot;* #,##0.00_);_(&quot;€&quot;* \(#,##0.00\);_(&quot;€&quot;* &quot;-&quot;??_);_(@_)"/>
    <numFmt numFmtId="209" formatCode="#,##0.00&quot; € &quot;;\-#,##0.00&quot; € &quot;;&quot; -&quot;#&quot; € &quot;;@\ "/>
    <numFmt numFmtId="210" formatCode="_-* #,##0.00\ [$€]_-;\-* #,##0.00\ [$€]_-;_-* &quot;-&quot;??\ [$€]_-;_-@_-"/>
    <numFmt numFmtId="211" formatCode="_-* #,##0.00\ [$€-1]_-;\-* #,##0.00\ [$€-1]_-;_-* &quot;-&quot;??\ [$€-1]_-"/>
    <numFmt numFmtId="212" formatCode="_-[$€-2]\ * #,##0.00_-;\-[$€-2]\ * #,##0.00_-;_-[$€-2]\ * &quot;-&quot;??_-"/>
    <numFmt numFmtId="213" formatCode="_-[$€-2]\ * #,##0.00_-;\-[$€-2]\ * #,##0.00_-;_-[$€-2]\ * &quot;-&quot;??_-;_-@_-"/>
    <numFmt numFmtId="214" formatCode="_([$€-2]* #,##0.00_);_([$€-2]* \(#,##0.00\);_([$€-2]* &quot;-&quot;??_)"/>
    <numFmt numFmtId="215" formatCode="#,##0.00\ [$€]\ ;\-#,##0.00\ [$€]\ ;&quot; -&quot;#\ [$€]\ ;@\ "/>
    <numFmt numFmtId="216" formatCode="0.0000;[Red]\-0.0000;"/>
    <numFmt numFmtId="217" formatCode="#,##0;\(#,##0\);0"/>
    <numFmt numFmtId="218" formatCode="_(* #,##0.0_%_);_(* \(#,##0.0_%\);_(* &quot; - &quot;_%_);_(@_)"/>
    <numFmt numFmtId="219" formatCode="_(* #,##0.0%_);_(* \(#,##0.0%\);_(* &quot; - &quot;\%_);_(@_)"/>
    <numFmt numFmtId="220" formatCode="_(* #,##0.0_);_(* \(#,##0.0\);_(* &quot; - &quot;_);_(@_)"/>
    <numFmt numFmtId="221" formatCode="_(* #,##0.00_);_(* \(#,##0.00\);_(* &quot; - &quot;_);_(@_)"/>
    <numFmt numFmtId="222" formatCode="_(* #,##0.000_);_(* \(#,##0.000\);_(* &quot; - &quot;_);_(@_)"/>
    <numFmt numFmtId="223" formatCode="#,##0;\(#,##0\);&quot;-&quot;"/>
    <numFmt numFmtId="224" formatCode="_ * #,##0_ ;_ * \-#,##0_ ;_ * &quot;-&quot;_ ;_ @_ "/>
    <numFmt numFmtId="225" formatCode="#,##0.0000_);\(#,##0.0000\);&quot;- &quot;;&quot;  &quot;@"/>
    <numFmt numFmtId="226" formatCode="#,##0.0_ ;[Red]\-#,##0.0\ "/>
    <numFmt numFmtId="227" formatCode="_-* #,##0\ [$F]_-;\-* #,##0\ [$F]_-;_-* &quot;-&quot;\ [$F]_-;_-@_-"/>
    <numFmt numFmtId="228" formatCode="#,##0.0_);\(#,##0.0\)"/>
    <numFmt numFmtId="229" formatCode="[Blue]#,##0\ ;[Red]\(#,##0\)"/>
    <numFmt numFmtId="230" formatCode="#,##0\ ;[Red]\(#,##0\);\-\ "/>
    <numFmt numFmtId="231" formatCode="&quot;Lookup&quot;\ 0"/>
    <numFmt numFmtId="232" formatCode="#,##0_);\(#,##0_)\)"/>
    <numFmt numFmtId="233" formatCode="_(* #,##0_);_(* \(#,##0\);_(* &quot;-&quot;_);_(@_)"/>
    <numFmt numFmtId="234" formatCode="#,##0.00&quot;$&quot;\ ;\(#,##0.00&quot;$&quot;\)"/>
    <numFmt numFmtId="235" formatCode="_-\ #,##0.0,,\ _€_-;[Red]\-\ #,##0.0,,\ _€_-;_-\ &quot;-&quot;\ _€_-;_-@_-"/>
    <numFmt numFmtId="236" formatCode="_-* #,##0.00\ &quot;F&quot;_-;\-* #,##0.00\ &quot;F&quot;_-;_-* &quot;-&quot;??\ &quot;F&quot;_-;_-@_-"/>
    <numFmt numFmtId="237" formatCode="0.000%;[Red]\-0.000%;"/>
    <numFmt numFmtId="238" formatCode="###0_);\(###0\);&quot;- &quot;;&quot;  &quot;@"/>
    <numFmt numFmtId="239" formatCode="_(* #,##0.0_);_(* \(#,##0.0\);_(* &quot;-&quot;?_);_(@_)"/>
    <numFmt numFmtId="240" formatCode="00\.00\.00\.0\.0000\.0"/>
    <numFmt numFmtId="241" formatCode="0.00%_);[Red]\(0.00%\);&quot;&quot;"/>
    <numFmt numFmtId="242" formatCode="0.000%_);[Red]\(0.000%\);&quot;&quot;"/>
    <numFmt numFmtId="243" formatCode="&quot;Period &quot;0"/>
    <numFmt numFmtId="244" formatCode="_-* #,##0.0\ _F_-;\-* #,##0.0\ _F_-;_-* &quot;-&quot;??\ _F_-;_-@_-"/>
    <numFmt numFmtId="245" formatCode="_-* #,##0\ _F_-;\-* #,##0\ _F_-;_-* &quot;-&quot;??\ _F_-;_-@_-"/>
    <numFmt numFmtId="246" formatCode="#,##0.0&quot;$&quot;\ ;\(#,##0.0&quot;$&quot;\)"/>
    <numFmt numFmtId="247" formatCode="0.00;[Red]\-0.00;"/>
    <numFmt numFmtId="248" formatCode="dd\-mmm\-yy;;"/>
    <numFmt numFmtId="249" formatCode="##0.00"/>
    <numFmt numFmtId="250" formatCode="###,000"/>
    <numFmt numFmtId="251" formatCode="##0.0"/>
    <numFmt numFmtId="252" formatCode="0\.0000\.0"/>
    <numFmt numFmtId="253" formatCode="_-* #,##0&quot; €&quot;_-;\-* #,##0&quot; €&quot;_-;_-* \-??&quot; €&quot;_-;_-@_-"/>
    <numFmt numFmtId="254" formatCode="0;[Red]\-0;;@"/>
    <numFmt numFmtId="255" formatCode="_-* #,##0\ _m_k_-;_-* #,##0\ _m_k\-;_-* &quot;-&quot;\ _m_k_-;_-@_-"/>
    <numFmt numFmtId="256" formatCode="#,##0_);[Red]\(#,##0\);"/>
    <numFmt numFmtId="257" formatCode="_-* #,##0\ &quot;mk&quot;_-;_-* #,##0\ &quot;mk&quot;\-;_-* &quot;-&quot;\ &quot;mk&quot;_-;_-@_-"/>
    <numFmt numFmtId="258" formatCode="_-&quot;€&quot;\ * #,##0.00_-;\-&quot;€&quot;\ * #,##0.00_-;_-&quot;€&quot;\ * &quot;-&quot;??_-;_-@_-"/>
    <numFmt numFmtId="259" formatCode="_-* #,##0\ &quot;DM&quot;_-;\-* #,##0\ &quot;DM&quot;_-;_-* &quot;-&quot;\ &quot;DM&quot;_-;_-@_-"/>
    <numFmt numFmtId="260" formatCode="_-* #,##0.00\ &quot;DM&quot;_-;\-* #,##0.00\ &quot;DM&quot;_-;_-* &quot;-&quot;??\ &quot;DM&quot;_-;_-@_-"/>
    <numFmt numFmtId="261" formatCode="&quot;Year &quot;0"/>
    <numFmt numFmtId="262" formatCode="_(* #,##0.0_);_(* \(#,##0.0\);_(* &quot;-&quot;??_);_(@_)"/>
    <numFmt numFmtId="263" formatCode="_(* #,##0.0000000_);_(* \(#,##0.0000000\);_(* &quot;-&quot;??_);_(@_)"/>
    <numFmt numFmtId="264" formatCode="_-\ #,##0.00_-;\-\ #,##0.00_-;_-\ &quot;-&quot;??_-;_-@_-"/>
    <numFmt numFmtId="265" formatCode="_-\ #,##0.0_-;\-\ #,##0.0_-;_-\ &quot;-&quot;??_-;_-@_-"/>
    <numFmt numFmtId="266" formatCode="_-* #,##0.0_-;\-* #,##0.0_-;_-* &quot;-&quot;??_-;_-@_-"/>
    <numFmt numFmtId="267" formatCode="#,##0.0000000000"/>
    <numFmt numFmtId="268" formatCode="0.0000"/>
    <numFmt numFmtId="269" formatCode="0.00000"/>
    <numFmt numFmtId="270" formatCode="0.000000"/>
    <numFmt numFmtId="271" formatCode="0.00000000"/>
    <numFmt numFmtId="272" formatCode="#,##0_ ;\-#,##0\ "/>
    <numFmt numFmtId="273" formatCode="_-* #,##0.000\ _€_-;\-* #,##0.000\ _€_-;_-* &quot;-&quot;??\ _€_-;_-@_-"/>
    <numFmt numFmtId="274" formatCode="_-* #,##0.0\ _€_-;\-* #,##0.0\ _€_-;_-* &quot;-&quot;??\ _€_-;_-@_-"/>
    <numFmt numFmtId="275" formatCode="_-* #,##0.0_-;\-* #,##0.0_-;_-* &quot;-&quot;?_-;_-@_-"/>
  </numFmts>
  <fonts count="36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Arial"/>
      <family val="2"/>
      <charset val="238"/>
    </font>
    <font>
      <b/>
      <sz val="11"/>
      <name val="Calibri"/>
      <family val="2"/>
      <charset val="238"/>
      <scheme val="minor"/>
    </font>
    <font>
      <sz val="9"/>
      <name val="Calibri"/>
      <family val="2"/>
      <charset val="238"/>
      <scheme val="minor"/>
    </font>
    <font>
      <sz val="11"/>
      <name val="Calibri"/>
      <family val="2"/>
      <charset val="238"/>
      <scheme val="minor"/>
    </font>
    <font>
      <sz val="11"/>
      <color rgb="FF006600"/>
      <name val="Calibri"/>
      <family val="2"/>
      <charset val="238"/>
      <scheme val="minor"/>
    </font>
    <font>
      <sz val="11"/>
      <color rgb="FF808080"/>
      <name val="Calibri"/>
      <family val="2"/>
      <charset val="238"/>
      <scheme val="minor"/>
    </font>
    <font>
      <sz val="11"/>
      <color rgb="FFFF0000"/>
      <name val="Calibri"/>
      <family val="2"/>
      <charset val="238"/>
      <scheme val="minor"/>
    </font>
    <font>
      <sz val="11"/>
      <color indexed="8"/>
      <name val="Calibri"/>
      <family val="2"/>
    </font>
    <font>
      <b/>
      <sz val="9"/>
      <name val="Calibri"/>
      <family val="2"/>
      <charset val="238"/>
      <scheme val="minor"/>
    </font>
    <font>
      <b/>
      <sz val="16"/>
      <name val="Calibri"/>
      <family val="2"/>
      <charset val="238"/>
      <scheme val="minor"/>
    </font>
    <font>
      <sz val="10"/>
      <name val="Arial"/>
      <family val="2"/>
    </font>
    <font>
      <b/>
      <sz val="14"/>
      <name val="Calibri"/>
      <family val="2"/>
      <charset val="238"/>
      <scheme val="minor"/>
    </font>
    <font>
      <i/>
      <sz val="11"/>
      <name val="Calibri"/>
      <family val="2"/>
      <charset val="238"/>
      <scheme val="minor"/>
    </font>
    <font>
      <i/>
      <sz val="9"/>
      <name val="Calibri"/>
      <family val="2"/>
      <charset val="238"/>
      <scheme val="minor"/>
    </font>
    <font>
      <i/>
      <sz val="11"/>
      <color rgb="FFFF0000"/>
      <name val="Calibri"/>
      <family val="2"/>
      <charset val="238"/>
      <scheme val="minor"/>
    </font>
    <font>
      <sz val="14"/>
      <name val="Calibri"/>
      <family val="2"/>
      <charset val="238"/>
      <scheme val="minor"/>
    </font>
    <font>
      <sz val="11"/>
      <color theme="1"/>
      <name val="Calibri"/>
      <family val="2"/>
      <charset val="238"/>
      <scheme val="minor"/>
    </font>
    <font>
      <i/>
      <sz val="11"/>
      <color theme="1"/>
      <name val="Calibri"/>
      <family val="2"/>
      <charset val="238"/>
      <scheme val="minor"/>
    </font>
    <font>
      <sz val="11"/>
      <color indexed="20"/>
      <name val="Calibri"/>
      <family val="2"/>
    </font>
    <font>
      <sz val="11"/>
      <name val="Arial"/>
      <family val="2"/>
    </font>
    <font>
      <b/>
      <sz val="9"/>
      <name val="Calibri"/>
      <family val="2"/>
    </font>
    <font>
      <sz val="9"/>
      <name val="Calibri"/>
      <family val="2"/>
    </font>
    <font>
      <b/>
      <sz val="8.5"/>
      <name val="Calibri"/>
      <family val="2"/>
    </font>
    <font>
      <sz val="8.5"/>
      <name val="Calibri"/>
      <family val="2"/>
    </font>
    <font>
      <strike/>
      <sz val="9"/>
      <name val="Calibri"/>
      <family val="2"/>
    </font>
    <font>
      <sz val="8"/>
      <name val="Calibri"/>
      <family val="2"/>
    </font>
    <font>
      <sz val="11"/>
      <name val="Calibri"/>
      <family val="2"/>
    </font>
    <font>
      <b/>
      <sz val="11"/>
      <name val="Calibri"/>
      <family val="2"/>
    </font>
    <font>
      <i/>
      <sz val="9"/>
      <name val="Calibri"/>
      <family val="2"/>
    </font>
    <font>
      <b/>
      <sz val="11"/>
      <color indexed="9"/>
      <name val="Calibri"/>
      <family val="2"/>
    </font>
    <font>
      <b/>
      <sz val="11"/>
      <name val="Arial"/>
      <family val="2"/>
    </font>
    <font>
      <b/>
      <sz val="10"/>
      <name val="Calibri"/>
      <family val="2"/>
    </font>
    <font>
      <b/>
      <sz val="11"/>
      <color indexed="8"/>
      <name val="Calibri"/>
      <family val="2"/>
    </font>
    <font>
      <sz val="8"/>
      <name val="Arial"/>
      <family val="2"/>
    </font>
    <font>
      <sz val="10"/>
      <color indexed="10"/>
      <name val="Arial"/>
      <family val="2"/>
    </font>
    <font>
      <sz val="11"/>
      <name val="Times New Roman"/>
      <family val="1"/>
    </font>
    <font>
      <sz val="10"/>
      <name val="Arial"/>
      <family val="2"/>
      <charset val="204"/>
    </font>
    <font>
      <b/>
      <sz val="10"/>
      <name val="Arial"/>
      <family val="2"/>
    </font>
    <font>
      <i/>
      <sz val="10"/>
      <name val="Arial"/>
      <family val="2"/>
    </font>
    <font>
      <b/>
      <i/>
      <sz val="10"/>
      <name val="Arial"/>
      <family val="2"/>
    </font>
    <font>
      <b/>
      <i/>
      <sz val="9"/>
      <name val="Arial"/>
      <family val="2"/>
    </font>
    <font>
      <b/>
      <sz val="9"/>
      <name val="Arial"/>
      <family val="2"/>
    </font>
    <font>
      <sz val="10"/>
      <name val="Helv"/>
      <family val="2"/>
    </font>
    <font>
      <b/>
      <sz val="8"/>
      <color indexed="9"/>
      <name val="Arial"/>
      <family val="2"/>
    </font>
    <font>
      <i/>
      <sz val="8"/>
      <name val="Arial"/>
      <family val="2"/>
    </font>
    <font>
      <b/>
      <i/>
      <sz val="8"/>
      <color indexed="9"/>
      <name val="Arial"/>
      <family val="2"/>
    </font>
    <font>
      <b/>
      <i/>
      <sz val="10"/>
      <color indexed="32"/>
      <name val="Arial"/>
      <family val="2"/>
    </font>
    <font>
      <sz val="10"/>
      <name val="Book Antiqua"/>
      <family val="1"/>
    </font>
    <font>
      <b/>
      <i/>
      <sz val="10"/>
      <name val="Arial Narrow"/>
      <family val="2"/>
    </font>
    <font>
      <sz val="12"/>
      <name val="Times New Roman"/>
      <family val="1"/>
    </font>
    <font>
      <b/>
      <sz val="15"/>
      <color indexed="56"/>
      <name val="Calibri"/>
      <family val="2"/>
    </font>
    <font>
      <b/>
      <sz val="13"/>
      <color indexed="56"/>
      <name val="Calibri"/>
      <family val="2"/>
    </font>
    <font>
      <sz val="10"/>
      <color theme="1"/>
      <name val="Arial"/>
      <family val="2"/>
    </font>
    <font>
      <sz val="11"/>
      <color indexed="8"/>
      <name val="Calibri"/>
      <family val="2"/>
      <charset val="238"/>
    </font>
    <font>
      <sz val="10"/>
      <color indexed="8"/>
      <name val="Arial"/>
      <family val="2"/>
    </font>
    <font>
      <sz val="11"/>
      <color indexed="8"/>
      <name val="Arial"/>
      <family val="2"/>
    </font>
    <font>
      <sz val="11"/>
      <color indexed="8"/>
      <name val="Calibri"/>
      <family val="2"/>
      <charset val="186"/>
    </font>
    <font>
      <sz val="11"/>
      <color indexed="8"/>
      <name val="Calibri"/>
      <family val="2"/>
      <charset val="204"/>
    </font>
    <font>
      <b/>
      <sz val="11"/>
      <color indexed="56"/>
      <name val="Calibri"/>
      <family val="2"/>
    </font>
    <font>
      <sz val="11"/>
      <color indexed="9"/>
      <name val="Calibri"/>
      <family val="2"/>
    </font>
    <font>
      <sz val="10"/>
      <color theme="0"/>
      <name val="Arial"/>
      <family val="2"/>
    </font>
    <font>
      <sz val="11"/>
      <color indexed="9"/>
      <name val="Calibri"/>
      <family val="2"/>
      <charset val="238"/>
    </font>
    <font>
      <sz val="10"/>
      <color indexed="9"/>
      <name val="Arial"/>
      <family val="2"/>
    </font>
    <font>
      <sz val="11"/>
      <color indexed="9"/>
      <name val="Arial"/>
      <family val="2"/>
    </font>
    <font>
      <sz val="11"/>
      <color indexed="9"/>
      <name val="Calibri"/>
      <family val="2"/>
      <charset val="186"/>
    </font>
    <font>
      <sz val="11"/>
      <color indexed="9"/>
      <name val="Calibri"/>
      <family val="2"/>
      <charset val="204"/>
    </font>
    <font>
      <sz val="12"/>
      <color indexed="9"/>
      <name val="Calibri"/>
      <family val="2"/>
    </font>
    <font>
      <sz val="10"/>
      <name val="Frutiger 55 Roman"/>
    </font>
    <font>
      <sz val="11"/>
      <color indexed="10"/>
      <name val="Calibri"/>
      <family val="2"/>
    </font>
    <font>
      <i/>
      <sz val="11"/>
      <color indexed="23"/>
      <name val="Calibri"/>
      <family val="2"/>
    </font>
    <font>
      <b/>
      <sz val="9"/>
      <name val="Helv"/>
    </font>
    <font>
      <b/>
      <sz val="8"/>
      <name val="Arial"/>
      <family val="2"/>
    </font>
    <font>
      <b/>
      <sz val="11"/>
      <color indexed="52"/>
      <name val="Calibri"/>
      <family val="2"/>
    </font>
    <font>
      <b/>
      <sz val="11"/>
      <color indexed="52"/>
      <name val="Calibri"/>
      <family val="2"/>
      <charset val="186"/>
    </font>
    <font>
      <sz val="10"/>
      <color indexed="12"/>
      <name val="Arial"/>
      <family val="2"/>
    </font>
    <font>
      <sz val="10"/>
      <name val="MS Sans Serif"/>
      <family val="2"/>
    </font>
    <font>
      <sz val="9"/>
      <color indexed="12"/>
      <name val="Arial"/>
      <family val="2"/>
    </font>
    <font>
      <sz val="7"/>
      <name val="Arial"/>
      <family val="2"/>
    </font>
    <font>
      <b/>
      <sz val="11"/>
      <color indexed="63"/>
      <name val="Calibri"/>
      <family val="2"/>
    </font>
    <font>
      <sz val="12"/>
      <color indexed="10"/>
      <name val="Calibri"/>
      <family val="2"/>
    </font>
    <font>
      <sz val="10"/>
      <color rgb="FFFF0000"/>
      <name val="Arial"/>
      <family val="2"/>
    </font>
    <font>
      <sz val="10"/>
      <name val="Times New Roman"/>
      <family val="1"/>
    </font>
    <font>
      <sz val="11"/>
      <color indexed="62"/>
      <name val="Calibri"/>
      <family val="2"/>
      <charset val="238"/>
    </font>
    <font>
      <sz val="12"/>
      <color indexed="17"/>
      <name val="Calibri"/>
      <family val="2"/>
    </font>
    <font>
      <sz val="8"/>
      <name val="Times New Roman"/>
      <family val="1"/>
    </font>
    <font>
      <sz val="11"/>
      <color indexed="17"/>
      <name val="Calibri"/>
      <family val="2"/>
    </font>
    <font>
      <sz val="10"/>
      <name val="ZapfDingbats"/>
      <family val="2"/>
    </font>
    <font>
      <sz val="10"/>
      <color indexed="40"/>
      <name val="Arial"/>
      <family val="2"/>
    </font>
    <font>
      <b/>
      <sz val="11"/>
      <color indexed="52"/>
      <name val="Arial"/>
      <family val="2"/>
    </font>
    <font>
      <b/>
      <sz val="12"/>
      <color indexed="52"/>
      <name val="Calibri"/>
      <family val="2"/>
    </font>
    <font>
      <b/>
      <sz val="10"/>
      <color rgb="FFFA7D00"/>
      <name val="Arial"/>
      <family val="2"/>
    </font>
    <font>
      <sz val="11"/>
      <color indexed="52"/>
      <name val="Calibri"/>
      <family val="2"/>
    </font>
    <font>
      <sz val="11"/>
      <color indexed="52"/>
      <name val="Arial"/>
      <family val="2"/>
    </font>
    <font>
      <b/>
      <sz val="11"/>
      <color indexed="9"/>
      <name val="Arial"/>
      <family val="2"/>
    </font>
    <font>
      <sz val="12"/>
      <color indexed="52"/>
      <name val="Calibri"/>
      <family val="2"/>
    </font>
    <font>
      <sz val="10"/>
      <color rgb="FFFA7D00"/>
      <name val="Arial"/>
      <family val="2"/>
    </font>
    <font>
      <sz val="14"/>
      <name val="Wingdings"/>
      <charset val="2"/>
    </font>
    <font>
      <sz val="22"/>
      <color indexed="12"/>
      <name val="Wingdings"/>
      <charset val="2"/>
    </font>
    <font>
      <sz val="22"/>
      <name val="Wingdings"/>
      <charset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12"/>
      <name val="Times New Roman"/>
      <family val="1"/>
    </font>
    <font>
      <sz val="10"/>
      <color indexed="11"/>
      <name val="Times New Roman"/>
      <family val="1"/>
    </font>
    <font>
      <sz val="10"/>
      <color indexed="10"/>
      <name val="Times New Roman"/>
      <family val="1"/>
    </font>
    <font>
      <b/>
      <u val="singleAccounting"/>
      <sz val="11"/>
      <name val="Arial"/>
      <family val="2"/>
    </font>
    <font>
      <sz val="8"/>
      <name val="Palatino"/>
      <family val="1"/>
    </font>
    <font>
      <sz val="11"/>
      <name val="Arial"/>
      <family val="2"/>
      <charset val="204"/>
    </font>
    <font>
      <sz val="10"/>
      <name val="Times New Roman"/>
      <family val="1"/>
      <charset val="238"/>
    </font>
    <font>
      <sz val="10"/>
      <name val="Times New Roman"/>
      <family val="1"/>
      <charset val="204"/>
    </font>
    <font>
      <sz val="10"/>
      <color indexed="45"/>
      <name val="Arial"/>
      <family val="2"/>
    </font>
    <font>
      <b/>
      <sz val="8"/>
      <color indexed="10"/>
      <name val="Arial"/>
      <family val="2"/>
    </font>
    <font>
      <b/>
      <sz val="16"/>
      <color indexed="9"/>
      <name val="Arial"/>
      <family val="2"/>
    </font>
    <font>
      <b/>
      <sz val="16"/>
      <name val="Arial"/>
      <family val="2"/>
    </font>
    <font>
      <sz val="10"/>
      <name val="BERNHARD"/>
    </font>
    <font>
      <sz val="11"/>
      <color indexed="62"/>
      <name val="Calibri"/>
      <family val="2"/>
    </font>
    <font>
      <sz val="10"/>
      <color indexed="50"/>
      <name val="Arial"/>
      <family val="2"/>
    </font>
    <font>
      <sz val="11"/>
      <color indexed="8"/>
      <name val="Czcionka tekstu podstawowego"/>
      <family val="2"/>
      <charset val="238"/>
    </font>
    <font>
      <sz val="16"/>
      <name val="Wingdings"/>
      <charset val="2"/>
    </font>
    <font>
      <b/>
      <sz val="11"/>
      <color indexed="9"/>
      <name val="Calibri"/>
      <family val="2"/>
      <charset val="238"/>
    </font>
    <font>
      <b/>
      <sz val="10"/>
      <name val="CG Times (W1)"/>
    </font>
    <font>
      <sz val="12"/>
      <color indexed="62"/>
      <name val="Calibri"/>
      <family val="2"/>
    </font>
    <font>
      <sz val="10"/>
      <color rgb="FF3F3F76"/>
      <name val="Arial"/>
      <family val="2"/>
    </font>
    <font>
      <sz val="8"/>
      <name val="MS Sans Serif"/>
      <family val="2"/>
    </font>
    <font>
      <sz val="12"/>
      <color indexed="8"/>
      <name val="Calibri"/>
      <family val="2"/>
    </font>
    <font>
      <b/>
      <sz val="32"/>
      <name val="Helvetica"/>
      <family val="2"/>
    </font>
    <font>
      <i/>
      <sz val="8"/>
      <name val="Times New Roman"/>
      <family val="1"/>
    </font>
    <font>
      <sz val="9"/>
      <name val="Times New Roman"/>
      <family val="1"/>
    </font>
    <font>
      <b/>
      <u val="singleAccounting"/>
      <sz val="9"/>
      <name val="Times New Roman"/>
      <family val="1"/>
    </font>
    <font>
      <b/>
      <sz val="11"/>
      <name val="Times New Roman"/>
      <family val="1"/>
    </font>
    <font>
      <b/>
      <sz val="10"/>
      <name val="Times New Roman"/>
      <family val="1"/>
    </font>
    <font>
      <b/>
      <i/>
      <sz val="9.5"/>
      <name val="Times New Roman"/>
      <family val="1"/>
    </font>
    <font>
      <sz val="11"/>
      <color indexed="10"/>
      <name val="Calibri"/>
      <family val="2"/>
      <charset val="238"/>
    </font>
    <font>
      <sz val="10"/>
      <color indexed="24"/>
      <name val="Arial"/>
      <family val="2"/>
    </font>
    <font>
      <sz val="10"/>
      <name val="Helvetica"/>
      <family val="2"/>
    </font>
    <font>
      <sz val="7"/>
      <name val="Palatino"/>
      <family val="1"/>
    </font>
    <font>
      <sz val="9"/>
      <name val="Arial"/>
      <family val="2"/>
    </font>
    <font>
      <b/>
      <sz val="18"/>
      <color indexed="17"/>
      <name val="MS Sans Serif"/>
      <family val="2"/>
    </font>
    <font>
      <sz val="10"/>
      <color indexed="18"/>
      <name val="Arial"/>
      <family val="2"/>
    </font>
    <font>
      <sz val="10"/>
      <color indexed="23"/>
      <name val="Arial"/>
      <family val="2"/>
    </font>
    <font>
      <sz val="11"/>
      <color indexed="20"/>
      <name val="Calibri"/>
      <family val="2"/>
      <charset val="186"/>
    </font>
    <font>
      <sz val="9"/>
      <name val="Futura UBS Bk"/>
      <family val="2"/>
    </font>
    <font>
      <sz val="11"/>
      <color indexed="17"/>
      <name val="Calibri"/>
      <family val="2"/>
      <charset val="186"/>
    </font>
    <font>
      <b/>
      <sz val="12"/>
      <name val="Arial"/>
      <family val="2"/>
    </font>
    <font>
      <b/>
      <sz val="10"/>
      <name val="Tahoma"/>
      <family val="2"/>
    </font>
    <font>
      <b/>
      <u/>
      <sz val="16"/>
      <color indexed="10"/>
      <name val="Palatino"/>
      <family val="1"/>
    </font>
    <font>
      <b/>
      <sz val="15"/>
      <color indexed="62"/>
      <name val="Calibri"/>
      <family val="2"/>
    </font>
    <font>
      <b/>
      <sz val="10"/>
      <color indexed="18"/>
      <name val="Arial"/>
      <family val="2"/>
    </font>
    <font>
      <b/>
      <sz val="13"/>
      <color indexed="62"/>
      <name val="Calibri"/>
      <family val="2"/>
    </font>
    <font>
      <b/>
      <sz val="11"/>
      <color indexed="62"/>
      <name val="Calibri"/>
      <family val="2"/>
    </font>
    <font>
      <i/>
      <sz val="12"/>
      <name val="Arial"/>
      <family val="2"/>
    </font>
    <font>
      <sz val="8"/>
      <color indexed="12"/>
      <name val="Helv"/>
    </font>
    <font>
      <sz val="8"/>
      <color indexed="49"/>
      <name val="Arial"/>
      <family val="2"/>
    </font>
    <font>
      <sz val="11"/>
      <color indexed="52"/>
      <name val="Calibri"/>
      <family val="2"/>
      <charset val="238"/>
    </font>
    <font>
      <sz val="11"/>
      <color indexed="10"/>
      <name val="Calibri"/>
      <family val="2"/>
      <charset val="186"/>
    </font>
    <font>
      <u/>
      <sz val="10"/>
      <color indexed="12"/>
      <name val="MS Sans Serif"/>
      <family val="2"/>
    </font>
    <font>
      <u/>
      <sz val="11"/>
      <color indexed="12"/>
      <name val="Calibri"/>
      <family val="2"/>
    </font>
    <font>
      <u/>
      <sz val="10"/>
      <color indexed="12"/>
      <name val="Arial"/>
      <family val="2"/>
    </font>
    <font>
      <b/>
      <sz val="8"/>
      <color indexed="12"/>
      <name val="Arial"/>
      <family val="2"/>
    </font>
    <font>
      <sz val="11"/>
      <color indexed="62"/>
      <name val="Arial"/>
      <family val="2"/>
    </font>
    <font>
      <b/>
      <sz val="10"/>
      <color indexed="14"/>
      <name val="Times New Roman"/>
      <family val="1"/>
    </font>
    <font>
      <sz val="12"/>
      <color indexed="14"/>
      <name val="Calibri"/>
      <family val="2"/>
    </font>
    <font>
      <sz val="11"/>
      <color indexed="14"/>
      <name val="Calibri"/>
      <family val="2"/>
      <scheme val="minor"/>
    </font>
    <font>
      <sz val="10"/>
      <color rgb="FF9C0006"/>
      <name val="Arial"/>
      <family val="2"/>
    </font>
    <font>
      <sz val="8"/>
      <color indexed="17"/>
      <name val="Arial"/>
      <family val="2"/>
    </font>
    <font>
      <sz val="10"/>
      <name val="Arial CE"/>
      <charset val="238"/>
    </font>
    <font>
      <sz val="11"/>
      <color indexed="17"/>
      <name val="Calibri"/>
      <family val="2"/>
      <charset val="238"/>
    </font>
    <font>
      <b/>
      <sz val="11"/>
      <color indexed="63"/>
      <name val="Calibri"/>
      <family val="2"/>
      <charset val="238"/>
    </font>
    <font>
      <b/>
      <sz val="11"/>
      <color indexed="8"/>
      <name val="Calibri"/>
      <family val="2"/>
      <charset val="186"/>
    </font>
    <font>
      <b/>
      <sz val="11"/>
      <color indexed="9"/>
      <name val="Calibri"/>
      <family val="2"/>
      <charset val="186"/>
    </font>
    <font>
      <sz val="18"/>
      <name val="Times New Roman"/>
      <family val="1"/>
    </font>
    <font>
      <b/>
      <sz val="13"/>
      <name val="Times New Roman"/>
      <family val="1"/>
    </font>
    <font>
      <b/>
      <i/>
      <sz val="12"/>
      <name val="Times New Roman"/>
      <family val="1"/>
    </font>
    <font>
      <i/>
      <sz val="12"/>
      <name val="Times New Roman"/>
      <family val="1"/>
    </font>
    <font>
      <b/>
      <sz val="18"/>
      <name val="Helvetica"/>
      <family val="2"/>
    </font>
    <font>
      <u/>
      <sz val="11"/>
      <color theme="10"/>
      <name val="Calibri"/>
      <family val="2"/>
      <scheme val="minor"/>
    </font>
    <font>
      <sz val="11"/>
      <color indexed="52"/>
      <name val="Calibri"/>
      <family val="2"/>
      <charset val="186"/>
    </font>
    <font>
      <sz val="8"/>
      <color indexed="47"/>
      <name val="Arial"/>
      <family val="2"/>
    </font>
    <font>
      <i/>
      <sz val="11"/>
      <color indexed="23"/>
      <name val="Calibri"/>
      <family val="2"/>
      <charset val="238"/>
    </font>
    <font>
      <b/>
      <sz val="22"/>
      <name val="Arial"/>
      <family val="2"/>
    </font>
    <font>
      <sz val="10"/>
      <name val="Times New Roman"/>
      <family val="1"/>
      <charset val="186"/>
    </font>
    <font>
      <sz val="14"/>
      <name val="Helvetica"/>
      <family val="2"/>
    </font>
    <font>
      <sz val="10"/>
      <name val="Helv"/>
    </font>
    <font>
      <sz val="12"/>
      <name val="CG Times (W1)"/>
    </font>
    <font>
      <sz val="8"/>
      <name val="Helv"/>
    </font>
    <font>
      <b/>
      <sz val="7"/>
      <name val="Arial"/>
      <family val="2"/>
    </font>
    <font>
      <sz val="8"/>
      <color indexed="40"/>
      <name val="Arial"/>
      <family val="2"/>
    </font>
    <font>
      <b/>
      <sz val="10"/>
      <name val="MS Sans Serif"/>
      <family val="2"/>
    </font>
    <font>
      <sz val="8"/>
      <color indexed="10"/>
      <name val="Arial"/>
      <family val="2"/>
    </font>
    <font>
      <b/>
      <sz val="18"/>
      <color indexed="56"/>
      <name val="Cambria"/>
      <family val="2"/>
    </font>
    <font>
      <sz val="11"/>
      <color indexed="60"/>
      <name val="Calibri"/>
      <family val="2"/>
    </font>
    <font>
      <sz val="11"/>
      <color indexed="60"/>
      <name val="Calibri"/>
      <family val="2"/>
      <charset val="186"/>
    </font>
    <font>
      <sz val="11"/>
      <color indexed="60"/>
      <name val="Arial"/>
      <family val="2"/>
    </font>
    <font>
      <sz val="12"/>
      <color indexed="60"/>
      <name val="Calibri"/>
      <family val="2"/>
    </font>
    <font>
      <sz val="10"/>
      <color rgb="FF9C6500"/>
      <name val="Arial"/>
      <family val="2"/>
    </font>
    <font>
      <sz val="10"/>
      <color indexed="8"/>
      <name val="Calibri"/>
      <family val="2"/>
    </font>
    <font>
      <sz val="10"/>
      <color indexed="64"/>
      <name val="Arial"/>
      <family val="2"/>
      <charset val="204"/>
    </font>
    <font>
      <sz val="11"/>
      <color theme="1"/>
      <name val="Calibri"/>
      <family val="2"/>
      <charset val="204"/>
      <scheme val="minor"/>
    </font>
    <font>
      <sz val="10"/>
      <name val="Arial"/>
      <family val="2"/>
      <charset val="238"/>
    </font>
    <font>
      <sz val="11"/>
      <color theme="1"/>
      <name val="Arial"/>
      <family val="2"/>
    </font>
    <font>
      <sz val="11"/>
      <color theme="1"/>
      <name val="Czcionka tekstu podstawowego"/>
      <family val="2"/>
      <charset val="238"/>
    </font>
    <font>
      <sz val="11"/>
      <color indexed="8"/>
      <name val="Czcionka tekstu podstawowego"/>
      <family val="2"/>
    </font>
    <font>
      <sz val="10"/>
      <color indexed="54"/>
      <name val="Arial"/>
      <family val="2"/>
    </font>
    <font>
      <sz val="9"/>
      <color indexed="8"/>
      <name val="Arial"/>
      <family val="2"/>
    </font>
    <font>
      <sz val="8"/>
      <color indexed="12"/>
      <name val="Arial"/>
      <family val="2"/>
    </font>
    <font>
      <b/>
      <sz val="11"/>
      <color indexed="8"/>
      <name val="Calibri"/>
      <family val="2"/>
      <charset val="238"/>
    </font>
    <font>
      <b/>
      <sz val="11"/>
      <color indexed="63"/>
      <name val="Arial"/>
      <family val="2"/>
    </font>
    <font>
      <b/>
      <sz val="26"/>
      <name val="Times New Roman"/>
      <family val="1"/>
    </font>
    <font>
      <b/>
      <sz val="18"/>
      <name val="Times New Roman"/>
      <family val="1"/>
    </font>
    <font>
      <sz val="10"/>
      <color indexed="16"/>
      <name val="Helvetica-Black"/>
      <family val="2"/>
    </font>
    <font>
      <sz val="9"/>
      <color indexed="9"/>
      <name val="Geneva"/>
      <family val="2"/>
    </font>
    <font>
      <sz val="9"/>
      <color indexed="9"/>
      <name val="Geneva"/>
    </font>
    <font>
      <sz val="10"/>
      <name val="Swiss"/>
    </font>
    <font>
      <b/>
      <sz val="15"/>
      <color indexed="56"/>
      <name val="Calibri"/>
      <family val="2"/>
      <charset val="186"/>
    </font>
    <font>
      <b/>
      <sz val="13"/>
      <color indexed="56"/>
      <name val="Calibri"/>
      <family val="2"/>
      <charset val="186"/>
    </font>
    <font>
      <b/>
      <sz val="11"/>
      <color indexed="56"/>
      <name val="Calibri"/>
      <family val="2"/>
      <charset val="186"/>
    </font>
    <font>
      <b/>
      <sz val="18"/>
      <color indexed="56"/>
      <name val="Cambria"/>
      <family val="2"/>
      <charset val="186"/>
    </font>
    <font>
      <b/>
      <sz val="10"/>
      <color indexed="64"/>
      <name val="Arial"/>
      <family val="2"/>
      <charset val="204"/>
    </font>
    <font>
      <sz val="10"/>
      <name val="Arial MT"/>
      <family val="2"/>
    </font>
    <font>
      <b/>
      <sz val="10"/>
      <color indexed="8"/>
      <name val="Arial"/>
      <family val="2"/>
    </font>
    <font>
      <b/>
      <sz val="8"/>
      <name val="Swiss"/>
    </font>
    <font>
      <b/>
      <i/>
      <u/>
      <sz val="10"/>
      <name val="Arial"/>
      <family val="2"/>
    </font>
    <font>
      <sz val="11"/>
      <color indexed="20"/>
      <name val="Calibri"/>
      <family val="2"/>
      <charset val="238"/>
    </font>
    <font>
      <sz val="16"/>
      <name val="Times New Roman"/>
      <family val="1"/>
    </font>
    <font>
      <b/>
      <sz val="18"/>
      <color indexed="62"/>
      <name val="Cambria"/>
      <family val="2"/>
    </font>
    <font>
      <sz val="10"/>
      <color indexed="39"/>
      <name val="Arial"/>
      <family val="2"/>
    </font>
    <font>
      <b/>
      <sz val="12"/>
      <color indexed="8"/>
      <name val="Arial"/>
      <family val="2"/>
    </font>
    <font>
      <b/>
      <sz val="16"/>
      <color indexed="23"/>
      <name val="Arial"/>
      <family val="2"/>
    </font>
    <font>
      <sz val="10"/>
      <color rgb="FF006100"/>
      <name val="Arial"/>
      <family val="2"/>
    </font>
    <font>
      <b/>
      <sz val="13"/>
      <color indexed="9"/>
      <name val="Frutiger 55 Roman"/>
    </font>
    <font>
      <i/>
      <sz val="11"/>
      <color indexed="23"/>
      <name val="Calibri"/>
      <family val="2"/>
      <charset val="186"/>
    </font>
    <font>
      <sz val="11"/>
      <color indexed="60"/>
      <name val="Calibri"/>
      <family val="2"/>
      <charset val="238"/>
    </font>
    <font>
      <sz val="11"/>
      <color indexed="62"/>
      <name val="Calibri"/>
      <family val="2"/>
      <charset val="186"/>
    </font>
    <font>
      <sz val="8"/>
      <name val="Helvetica"/>
      <family val="2"/>
    </font>
    <font>
      <b/>
      <sz val="12"/>
      <color indexed="63"/>
      <name val="Calibri"/>
      <family val="2"/>
    </font>
    <font>
      <b/>
      <sz val="10"/>
      <color rgb="FF3F3F3F"/>
      <name val="Arial"/>
      <family val="2"/>
    </font>
    <font>
      <sz val="12"/>
      <name val="Arial"/>
      <family val="2"/>
    </font>
    <font>
      <b/>
      <u/>
      <sz val="10"/>
      <name val="Helvetica"/>
      <family val="2"/>
    </font>
    <font>
      <b/>
      <u/>
      <sz val="10"/>
      <name val="Helv"/>
    </font>
    <font>
      <b/>
      <u/>
      <sz val="10"/>
      <name val="Helv"/>
      <family val="2"/>
    </font>
    <font>
      <sz val="10"/>
      <name val="Century Gothic"/>
      <family val="2"/>
    </font>
    <font>
      <sz val="10"/>
      <color indexed="19"/>
      <name val="Arial"/>
      <family val="2"/>
    </font>
    <font>
      <b/>
      <sz val="7"/>
      <color indexed="12"/>
      <name val="Arial"/>
      <family val="2"/>
    </font>
    <font>
      <b/>
      <sz val="11"/>
      <color indexed="52"/>
      <name val="Calibri"/>
      <family val="2"/>
      <charset val="238"/>
    </font>
    <font>
      <b/>
      <sz val="9"/>
      <name val="Palatino"/>
      <family val="1"/>
    </font>
    <font>
      <sz val="9"/>
      <color indexed="21"/>
      <name val="Helvetica-Black"/>
      <family val="2"/>
    </font>
    <font>
      <b/>
      <sz val="8.5"/>
      <name val="Arial"/>
      <family val="2"/>
    </font>
    <font>
      <sz val="7"/>
      <name val="Times New Roman"/>
      <family val="1"/>
    </font>
    <font>
      <sz val="11"/>
      <color indexed="10"/>
      <name val="Arial"/>
      <family val="2"/>
    </font>
    <font>
      <i/>
      <sz val="11"/>
      <color indexed="23"/>
      <name val="Arial"/>
      <family val="2"/>
    </font>
    <font>
      <b/>
      <i/>
      <sz val="10"/>
      <color indexed="10"/>
      <name val="Arial"/>
      <family val="2"/>
    </font>
    <font>
      <i/>
      <sz val="12"/>
      <color indexed="23"/>
      <name val="Calibri"/>
      <family val="2"/>
    </font>
    <font>
      <i/>
      <sz val="10"/>
      <color rgb="FF7F7F7F"/>
      <name val="Arial"/>
      <family val="2"/>
    </font>
    <font>
      <sz val="12"/>
      <name val="Arial MT"/>
    </font>
    <font>
      <b/>
      <sz val="16"/>
      <color indexed="24"/>
      <name val="Univers 45 Light"/>
      <family val="2"/>
    </font>
    <font>
      <b/>
      <sz val="14"/>
      <name val="Arial"/>
      <family val="2"/>
    </font>
    <font>
      <b/>
      <sz val="15"/>
      <color indexed="56"/>
      <name val="Arial"/>
      <family val="2"/>
    </font>
    <font>
      <b/>
      <sz val="13"/>
      <color indexed="56"/>
      <name val="Arial"/>
      <family val="2"/>
    </font>
    <font>
      <b/>
      <sz val="11"/>
      <color indexed="56"/>
      <name val="Arial"/>
      <family val="2"/>
    </font>
    <font>
      <b/>
      <sz val="13"/>
      <color theme="3"/>
      <name val="Arial"/>
      <family val="2"/>
    </font>
    <font>
      <b/>
      <sz val="15"/>
      <color theme="3"/>
      <name val="Arial"/>
      <family val="2"/>
    </font>
    <font>
      <b/>
      <sz val="13"/>
      <color indexed="62"/>
      <name val="Calibri"/>
      <family val="2"/>
      <scheme val="minor"/>
    </font>
    <font>
      <b/>
      <sz val="11"/>
      <color theme="3"/>
      <name val="Arial"/>
      <family val="2"/>
    </font>
    <font>
      <b/>
      <sz val="10"/>
      <name val="Helv"/>
    </font>
    <font>
      <b/>
      <sz val="12"/>
      <color indexed="8"/>
      <name val="Calibri"/>
      <family val="2"/>
    </font>
    <font>
      <b/>
      <sz val="10"/>
      <color theme="1"/>
      <name val="Arial"/>
      <family val="2"/>
    </font>
    <font>
      <b/>
      <sz val="11"/>
      <color indexed="8"/>
      <name val="Arial"/>
      <family val="2"/>
    </font>
    <font>
      <b/>
      <sz val="10"/>
      <color indexed="57"/>
      <name val="Arial"/>
      <family val="2"/>
    </font>
    <font>
      <b/>
      <sz val="11"/>
      <color indexed="63"/>
      <name val="Calibri"/>
      <family val="2"/>
      <charset val="186"/>
    </font>
    <font>
      <sz val="11"/>
      <color indexed="20"/>
      <name val="Arial"/>
      <family val="2"/>
    </font>
    <font>
      <sz val="11"/>
      <color indexed="17"/>
      <name val="Arial"/>
      <family val="2"/>
    </font>
    <font>
      <b/>
      <sz val="10"/>
      <color theme="0"/>
      <name val="Arial"/>
      <family val="2"/>
    </font>
    <font>
      <b/>
      <sz val="12"/>
      <color indexed="9"/>
      <name val="Calibri"/>
      <family val="2"/>
    </font>
    <font>
      <b/>
      <sz val="24"/>
      <name val="Helvetica"/>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58"/>
      <name val="Calibri"/>
      <family val="2"/>
      <charset val="204"/>
    </font>
    <font>
      <sz val="10"/>
      <color theme="1"/>
      <name val="Calibri"/>
      <family val="2"/>
      <scheme val="minor"/>
    </font>
    <font>
      <sz val="10"/>
      <name val="Calibri"/>
      <family val="2"/>
    </font>
    <font>
      <b/>
      <sz val="10"/>
      <name val="Calibri"/>
      <family val="2"/>
      <charset val="238"/>
    </font>
    <font>
      <b/>
      <i/>
      <sz val="8"/>
      <name val="Calibri"/>
      <family val="2"/>
    </font>
    <font>
      <i/>
      <sz val="8"/>
      <name val="Calibri"/>
      <family val="2"/>
    </font>
    <font>
      <sz val="10"/>
      <color rgb="FF0070C0"/>
      <name val="Calibri"/>
      <family val="2"/>
    </font>
    <font>
      <b/>
      <sz val="10"/>
      <color theme="1"/>
      <name val="Calibri"/>
      <family val="2"/>
      <scheme val="minor"/>
    </font>
    <font>
      <b/>
      <sz val="10"/>
      <color rgb="FF0070C0"/>
      <name val="Calibri"/>
      <family val="2"/>
    </font>
    <font>
      <b/>
      <sz val="10"/>
      <color rgb="FF00B050"/>
      <name val="Calibri"/>
      <family val="2"/>
    </font>
    <font>
      <i/>
      <sz val="10"/>
      <name val="Calibri"/>
      <family val="2"/>
    </font>
    <font>
      <sz val="10"/>
      <color theme="4"/>
      <name val="Calibri"/>
      <family val="2"/>
    </font>
    <font>
      <sz val="10"/>
      <color rgb="FF00B050"/>
      <name val="Calibri"/>
      <family val="2"/>
    </font>
    <font>
      <sz val="10"/>
      <color rgb="FFFF0000"/>
      <name val="Calibri"/>
      <family val="2"/>
    </font>
    <font>
      <b/>
      <sz val="10"/>
      <color rgb="FFFF0000"/>
      <name val="Calibri"/>
      <family val="2"/>
    </font>
    <font>
      <b/>
      <sz val="10"/>
      <color theme="4"/>
      <name val="Calibri"/>
      <family val="2"/>
    </font>
    <font>
      <sz val="9"/>
      <color rgb="FFFF0000"/>
      <name val="Calibri"/>
      <family val="2"/>
    </font>
    <font>
      <u/>
      <sz val="9"/>
      <name val="Calibri"/>
      <family val="2"/>
    </font>
    <font>
      <sz val="9"/>
      <name val="Calibri"/>
      <family val="2"/>
      <scheme val="minor"/>
    </font>
    <font>
      <sz val="9"/>
      <color theme="4"/>
      <name val="Calibri"/>
      <family val="2"/>
    </font>
    <font>
      <sz val="9"/>
      <color rgb="FF0070C0"/>
      <name val="Calibri"/>
      <family val="2"/>
    </font>
    <font>
      <sz val="9"/>
      <color theme="1"/>
      <name val="Calibri"/>
      <family val="2"/>
      <scheme val="minor"/>
    </font>
    <font>
      <sz val="9"/>
      <color rgb="FF00B050"/>
      <name val="Calibri"/>
      <family val="2"/>
    </font>
    <font>
      <strike/>
      <sz val="9"/>
      <color rgb="FF00B050"/>
      <name val="Calibri"/>
      <family val="2"/>
    </font>
    <font>
      <b/>
      <sz val="9"/>
      <color rgb="FF00B050"/>
      <name val="Calibri"/>
      <family val="2"/>
    </font>
    <font>
      <i/>
      <sz val="9"/>
      <color rgb="FF00B050"/>
      <name val="Calibri"/>
      <family val="2"/>
    </font>
    <font>
      <b/>
      <i/>
      <sz val="9"/>
      <name val="Calibri"/>
      <family val="2"/>
    </font>
    <font>
      <i/>
      <sz val="9"/>
      <color theme="4"/>
      <name val="Calibri"/>
      <family val="2"/>
    </font>
    <font>
      <b/>
      <sz val="10"/>
      <color rgb="FF0070C0"/>
      <name val="Calibri"/>
      <family val="2"/>
      <scheme val="minor"/>
    </font>
    <font>
      <sz val="10"/>
      <name val="Calibri"/>
      <family val="2"/>
      <scheme val="minor"/>
    </font>
    <font>
      <sz val="10"/>
      <name val="Arial"/>
      <family val="2"/>
    </font>
    <font>
      <b/>
      <sz val="9"/>
      <color rgb="FFFF0000"/>
      <name val="Calibri"/>
      <family val="2"/>
    </font>
    <font>
      <sz val="9"/>
      <color theme="1"/>
      <name val="Calibri"/>
      <family val="2"/>
    </font>
    <font>
      <b/>
      <sz val="9"/>
      <color theme="1"/>
      <name val="Calibri"/>
      <family val="2"/>
    </font>
    <font>
      <b/>
      <sz val="9"/>
      <color rgb="FF0070C0"/>
      <name val="Calibri"/>
      <family val="2"/>
    </font>
    <font>
      <i/>
      <sz val="9"/>
      <color rgb="FF0070C0"/>
      <name val="Calibri"/>
      <family val="2"/>
    </font>
    <font>
      <sz val="11"/>
      <color indexed="8"/>
      <name val="Calibri"/>
      <family val="2"/>
      <charset val="238"/>
      <scheme val="minor"/>
    </font>
    <font>
      <sz val="9"/>
      <color indexed="8"/>
      <name val="Calibri"/>
      <family val="2"/>
      <charset val="238"/>
      <scheme val="minor"/>
    </font>
    <font>
      <i/>
      <sz val="9"/>
      <color indexed="8"/>
      <name val="Calibri"/>
      <family val="2"/>
      <charset val="238"/>
      <scheme val="minor"/>
    </font>
    <font>
      <sz val="9"/>
      <color theme="6" tint="0.39997558519241921"/>
      <name val="Calibri"/>
      <family val="2"/>
    </font>
    <font>
      <i/>
      <strike/>
      <sz val="9"/>
      <color rgb="FF00B050"/>
      <name val="Calibri"/>
      <family val="2"/>
    </font>
    <font>
      <b/>
      <i/>
      <sz val="9"/>
      <color theme="1"/>
      <name val="Calibri"/>
      <family val="2"/>
    </font>
    <font>
      <i/>
      <sz val="9"/>
      <color theme="1"/>
      <name val="Calibri"/>
      <family val="2"/>
    </font>
    <font>
      <b/>
      <i/>
      <sz val="9"/>
      <color rgb="FF0070C0"/>
      <name val="Calibri"/>
      <family val="2"/>
    </font>
    <font>
      <sz val="11"/>
      <color rgb="FFEEF7E9"/>
      <name val="Calibri"/>
      <family val="2"/>
      <scheme val="minor"/>
    </font>
    <font>
      <b/>
      <sz val="14"/>
      <name val="Calibri Light"/>
      <family val="2"/>
    </font>
    <font>
      <b/>
      <sz val="12"/>
      <color theme="1"/>
      <name val="Calibri"/>
      <family val="2"/>
    </font>
    <font>
      <b/>
      <vertAlign val="superscript"/>
      <sz val="11"/>
      <name val="Calibri"/>
      <family val="2"/>
    </font>
    <font>
      <b/>
      <i/>
      <sz val="11"/>
      <name val="Arial"/>
      <family val="2"/>
    </font>
    <font>
      <i/>
      <sz val="11"/>
      <color rgb="FFFF0000"/>
      <name val="Calibri"/>
      <family val="2"/>
      <scheme val="minor"/>
    </font>
    <font>
      <sz val="11"/>
      <name val="Calibri"/>
      <family val="2"/>
      <scheme val="minor"/>
    </font>
    <font>
      <b/>
      <sz val="11"/>
      <name val="Calibri"/>
      <family val="2"/>
      <scheme val="minor"/>
    </font>
    <font>
      <vertAlign val="superscript"/>
      <sz val="11"/>
      <name val="Calibri"/>
      <family val="2"/>
      <scheme val="minor"/>
    </font>
    <font>
      <i/>
      <sz val="9"/>
      <name val="Calibri"/>
      <family val="2"/>
      <scheme val="minor"/>
    </font>
    <font>
      <b/>
      <sz val="9"/>
      <name val="Calibri"/>
      <family val="2"/>
      <scheme val="minor"/>
    </font>
    <font>
      <sz val="9"/>
      <color rgb="FF0070C0"/>
      <name val="Calibri"/>
      <family val="2"/>
      <scheme val="minor"/>
    </font>
    <font>
      <b/>
      <sz val="9"/>
      <color theme="1"/>
      <name val="Calibri"/>
      <family val="2"/>
      <scheme val="minor"/>
    </font>
    <font>
      <sz val="9"/>
      <color theme="4"/>
      <name val="Calibri"/>
      <family val="2"/>
      <scheme val="minor"/>
    </font>
    <font>
      <b/>
      <sz val="9"/>
      <color rgb="FF0070C0"/>
      <name val="Calibri"/>
      <family val="2"/>
      <scheme val="minor"/>
    </font>
    <font>
      <sz val="9"/>
      <color indexed="81"/>
      <name val="Tahoma"/>
      <family val="2"/>
    </font>
    <font>
      <b/>
      <sz val="9"/>
      <color indexed="81"/>
      <name val="Tahoma"/>
      <family val="2"/>
    </font>
    <font>
      <u/>
      <sz val="8"/>
      <color theme="10"/>
      <name val="Calibri"/>
      <family val="2"/>
      <scheme val="minor"/>
    </font>
  </fonts>
  <fills count="1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
      <patternFill patternType="solid">
        <fgColor theme="0" tint="-0.34998626667073579"/>
        <bgColor indexed="64"/>
      </patternFill>
    </fill>
    <fill>
      <patternFill patternType="solid">
        <fgColor rgb="FF99FF99"/>
        <bgColor indexed="64"/>
      </patternFill>
    </fill>
    <fill>
      <patternFill patternType="solid">
        <fgColor indexed="65"/>
        <bgColor indexed="64"/>
      </patternFill>
    </fill>
    <fill>
      <patternFill patternType="solid">
        <fgColor rgb="FFFFFF99"/>
        <bgColor indexed="64"/>
      </patternFill>
    </fill>
    <fill>
      <patternFill patternType="solid">
        <fgColor rgb="FFFF9999"/>
        <bgColor indexed="64"/>
      </patternFill>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indexed="42"/>
        <bgColor indexed="64"/>
      </patternFill>
    </fill>
    <fill>
      <patternFill patternType="solid">
        <fgColor theme="3" tint="0.79998168889431442"/>
        <bgColor indexed="64"/>
      </patternFill>
    </fill>
    <fill>
      <patternFill patternType="solid">
        <fgColor rgb="FFFFFFCC"/>
        <bgColor indexed="64"/>
      </patternFill>
    </fill>
    <fill>
      <patternFill patternType="gray0625">
        <fgColor indexed="9"/>
        <bgColor indexed="47"/>
      </patternFill>
    </fill>
    <fill>
      <patternFill patternType="solid">
        <fgColor theme="9" tint="0.79998168889431442"/>
        <bgColor indexed="64"/>
      </patternFill>
    </fill>
    <fill>
      <patternFill patternType="solid">
        <fgColor theme="0" tint="-0.249977111117893"/>
        <bgColor indexed="64"/>
      </patternFill>
    </fill>
    <fill>
      <patternFill patternType="solid">
        <fgColor indexed="45"/>
      </patternFill>
    </fill>
    <fill>
      <patternFill patternType="solid">
        <fgColor indexed="26"/>
        <bgColor indexed="64"/>
      </patternFill>
    </fill>
    <fill>
      <patternFill patternType="solid">
        <fgColor theme="6" tint="0.79998168889431442"/>
        <bgColor indexed="64"/>
      </patternFill>
    </fill>
    <fill>
      <patternFill patternType="solid">
        <fgColor indexed="22"/>
        <bgColor indexed="64"/>
      </patternFill>
    </fill>
    <fill>
      <patternFill patternType="solid">
        <fgColor theme="0" tint="-4.9989318521683403E-2"/>
        <bgColor indexed="64"/>
      </patternFill>
    </fill>
    <fill>
      <patternFill patternType="solid">
        <fgColor indexed="13"/>
        <bgColor indexed="64"/>
      </patternFill>
    </fill>
    <fill>
      <patternFill patternType="solid">
        <fgColor indexed="18"/>
        <bgColor indexed="64"/>
      </patternFill>
    </fill>
    <fill>
      <patternFill patternType="solid">
        <fgColor indexed="48"/>
        <bgColor indexed="64"/>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1"/>
      </patternFill>
    </fill>
    <fill>
      <patternFill patternType="solid">
        <fgColor indexed="19"/>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14"/>
      </patternFill>
    </fill>
    <fill>
      <patternFill patternType="solid">
        <fgColor indexed="27"/>
        <bgColor indexed="41"/>
      </patternFill>
    </fill>
    <fill>
      <patternFill patternType="solid">
        <fgColor indexed="31"/>
        <bgColor indexed="22"/>
      </patternFill>
    </fill>
    <fill>
      <patternFill patternType="solid">
        <fgColor indexed="44"/>
        <bgColor indexed="31"/>
      </patternFill>
    </fill>
    <fill>
      <patternFill patternType="solid">
        <fgColor indexed="62"/>
      </patternFill>
    </fill>
    <fill>
      <patternFill patternType="solid">
        <fgColor indexed="26"/>
        <bgColor indexed="9"/>
      </patternFill>
    </fill>
    <fill>
      <patternFill patternType="solid">
        <fgColor indexed="22"/>
        <bgColor indexed="31"/>
      </patternFill>
    </fill>
    <fill>
      <patternFill patternType="solid">
        <fgColor indexed="55"/>
        <bgColor indexed="23"/>
      </patternFill>
    </fill>
    <fill>
      <patternFill patternType="solid">
        <fgColor indexed="10"/>
      </patternFill>
    </fill>
    <fill>
      <patternFill patternType="solid">
        <fgColor indexed="42"/>
        <bgColor indexed="27"/>
      </patternFill>
    </fill>
    <fill>
      <patternFill patternType="solid">
        <fgColor indexed="57"/>
      </patternFill>
    </fill>
    <fill>
      <patternFill patternType="solid">
        <fgColor indexed="54"/>
      </patternFill>
    </fill>
    <fill>
      <patternFill patternType="solid">
        <fgColor indexed="47"/>
        <bgColor indexed="22"/>
      </patternFill>
    </fill>
    <fill>
      <patternFill patternType="solid">
        <fgColor indexed="53"/>
      </patternFill>
    </fill>
    <fill>
      <patternFill patternType="gray125">
        <fgColor indexed="11"/>
        <bgColor indexed="9"/>
      </patternFill>
    </fill>
    <fill>
      <patternFill patternType="solid">
        <fgColor indexed="43"/>
        <bgColor indexed="64"/>
      </patternFill>
    </fill>
    <fill>
      <patternFill patternType="solid">
        <fgColor indexed="13"/>
        <bgColor indexed="34"/>
      </patternFill>
    </fill>
    <fill>
      <patternFill patternType="solid">
        <fgColor indexed="43"/>
        <bgColor indexed="26"/>
      </patternFill>
    </fill>
    <fill>
      <patternFill patternType="solid">
        <fgColor indexed="62"/>
        <bgColor indexed="64"/>
      </patternFill>
    </fill>
    <fill>
      <patternFill patternType="solid">
        <fgColor indexed="27"/>
        <bgColor indexed="64"/>
      </patternFill>
    </fill>
    <fill>
      <patternFill patternType="solid">
        <fgColor indexed="28"/>
        <bgColor indexed="64"/>
      </patternFill>
    </fill>
    <fill>
      <patternFill patternType="solid">
        <fgColor indexed="22"/>
        <bgColor indexed="22"/>
      </patternFill>
    </fill>
    <fill>
      <patternFill patternType="solid">
        <fgColor indexed="31"/>
        <bgColor indexed="64"/>
      </patternFill>
    </fill>
    <fill>
      <patternFill patternType="gray0625">
        <fgColor indexed="13"/>
      </patternFill>
    </fill>
    <fill>
      <patternFill patternType="solid">
        <fgColor indexed="45"/>
        <bgColor indexed="29"/>
      </patternFill>
    </fill>
    <fill>
      <patternFill patternType="solid">
        <fgColor indexed="29"/>
        <bgColor indexed="64"/>
      </patternFill>
    </fill>
    <fill>
      <patternFill patternType="solid">
        <fgColor indexed="34"/>
        <bgColor indexed="64"/>
      </patternFill>
    </fill>
    <fill>
      <patternFill patternType="solid">
        <fgColor indexed="14"/>
        <bgColor indexed="64"/>
      </patternFill>
    </fill>
    <fill>
      <patternFill patternType="solid">
        <fgColor indexed="24"/>
        <bgColor indexed="46"/>
      </patternFill>
    </fill>
    <fill>
      <patternFill patternType="solid">
        <fgColor indexed="29"/>
        <bgColor indexed="45"/>
      </patternFill>
    </fill>
    <fill>
      <patternFill patternType="solid">
        <fgColor indexed="51"/>
        <bgColor indexed="13"/>
      </patternFill>
    </fill>
    <fill>
      <patternFill patternType="solid">
        <fgColor indexed="51"/>
        <bgColor indexed="64"/>
      </patternFill>
    </fill>
    <fill>
      <patternFill patternType="solid">
        <fgColor indexed="49"/>
        <bgColor indexed="64"/>
      </patternFill>
    </fill>
    <fill>
      <patternFill patternType="gray125">
        <fgColor indexed="15"/>
      </patternFill>
    </fill>
    <fill>
      <patternFill patternType="gray0625">
        <fgColor indexed="23"/>
        <bgColor indexed="9"/>
      </patternFill>
    </fill>
    <fill>
      <patternFill patternType="solid">
        <fgColor indexed="40"/>
        <bgColor indexed="64"/>
      </patternFill>
    </fill>
    <fill>
      <patternFill patternType="solid">
        <fgColor indexed="44"/>
        <bgColor indexed="64"/>
      </patternFill>
    </fill>
    <fill>
      <patternFill patternType="solid">
        <fgColor indexed="30"/>
        <bgColor indexed="64"/>
      </patternFill>
    </fill>
    <fill>
      <patternFill patternType="solid">
        <fgColor indexed="9"/>
        <bgColor indexed="26"/>
      </patternFill>
    </fill>
    <fill>
      <patternFill patternType="mediumGray">
        <fgColor indexed="11"/>
      </patternFill>
    </fill>
    <fill>
      <patternFill patternType="mediumGray">
        <fgColor indexed="22"/>
      </patternFill>
    </fill>
    <fill>
      <patternFill patternType="solid">
        <fgColor indexed="45"/>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12"/>
        <bgColor indexed="64"/>
      </patternFill>
    </fill>
    <fill>
      <patternFill patternType="solid">
        <fgColor indexed="63"/>
        <bgColor indexed="64"/>
      </patternFill>
    </fill>
    <fill>
      <patternFill patternType="solid">
        <fgColor indexed="61"/>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5"/>
        <bgColor indexed="64"/>
      </patternFill>
    </fill>
    <fill>
      <patternFill patternType="solid">
        <fgColor indexed="47"/>
        <bgColor indexed="64"/>
      </patternFill>
    </fill>
    <fill>
      <patternFill patternType="darkUp">
        <fgColor indexed="8"/>
        <bgColor indexed="13"/>
      </patternFill>
    </fill>
    <fill>
      <patternFill patternType="solid">
        <fgColor indexed="49"/>
        <bgColor indexed="40"/>
      </patternFill>
    </fill>
    <fill>
      <patternFill patternType="solid">
        <fgColor indexed="17"/>
      </patternFill>
    </fill>
    <fill>
      <patternFill patternType="solid">
        <fgColor indexed="9"/>
        <bgColor indexed="64"/>
      </patternFill>
    </fill>
    <fill>
      <patternFill patternType="darkUp">
        <fgColor indexed="55"/>
        <bgColor indexed="22"/>
      </patternFill>
    </fill>
    <fill>
      <patternFill patternType="gray0625">
        <fgColor indexed="9"/>
        <bgColor theme="0"/>
      </patternFill>
    </fill>
    <fill>
      <patternFill patternType="solid">
        <fgColor rgb="FFFFFF00"/>
        <bgColor indexed="64"/>
      </patternFill>
    </fill>
    <fill>
      <patternFill patternType="solid">
        <fgColor rgb="FF00B0F0"/>
        <bgColor indexed="64"/>
      </patternFill>
    </fill>
  </fills>
  <borders count="1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auto="1"/>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right/>
      <top style="thin">
        <color indexed="64"/>
      </top>
      <bottom/>
      <diagonal/>
    </border>
    <border>
      <left/>
      <right/>
      <top/>
      <bottom style="hair">
        <color indexed="22"/>
      </bottom>
      <diagonal/>
    </border>
    <border>
      <left/>
      <right style="thin">
        <color indexed="23"/>
      </right>
      <top style="medium">
        <color indexed="23"/>
      </top>
      <bottom style="medium">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bottom style="thin">
        <color indexed="44"/>
      </bottom>
      <diagonal/>
    </border>
    <border>
      <left style="dashed">
        <color indexed="63"/>
      </left>
      <right style="dashed">
        <color indexed="63"/>
      </right>
      <top style="dashed">
        <color indexed="63"/>
      </top>
      <bottom style="dashed">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dashed">
        <color indexed="28"/>
      </left>
      <right style="dashed">
        <color indexed="28"/>
      </right>
      <top style="dashed">
        <color indexed="28"/>
      </top>
      <bottom style="dashed">
        <color indexed="28"/>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right/>
      <top/>
      <bottom style="dotted">
        <color indexed="64"/>
      </bottom>
      <diagonal/>
    </border>
    <border>
      <left style="thin">
        <color auto="1"/>
      </left>
      <right style="thin">
        <color auto="1"/>
      </right>
      <top style="medium">
        <color indexed="64"/>
      </top>
      <bottom style="medium">
        <color indexed="64"/>
      </bottom>
      <diagonal/>
    </border>
    <border>
      <left style="dotted">
        <color indexed="28"/>
      </left>
      <right style="dotted">
        <color indexed="28"/>
      </right>
      <top style="dotted">
        <color indexed="28"/>
      </top>
      <bottom style="dotted">
        <color indexed="28"/>
      </bottom>
      <diagonal/>
    </border>
    <border>
      <left style="hair">
        <color auto="1"/>
      </left>
      <right style="hair">
        <color auto="1"/>
      </right>
      <top style="dashed">
        <color auto="1"/>
      </top>
      <bottom style="dotted">
        <color auto="1"/>
      </bottom>
      <diagonal/>
    </border>
    <border>
      <left style="thick">
        <color auto="1"/>
      </left>
      <right style="thick">
        <color auto="1"/>
      </right>
      <top/>
      <bottom style="thick">
        <color auto="1"/>
      </bottom>
      <diagonal/>
    </border>
    <border>
      <left style="dashed">
        <color indexed="55"/>
      </left>
      <right style="dashed">
        <color indexed="55"/>
      </right>
      <top style="dashed">
        <color indexed="55"/>
      </top>
      <bottom style="dashed">
        <color indexed="55"/>
      </bottom>
      <diagonal/>
    </border>
    <border>
      <left/>
      <right/>
      <top/>
      <bottom style="thick">
        <color indexed="49"/>
      </bottom>
      <diagonal/>
    </border>
    <border>
      <left style="double">
        <color indexed="64"/>
      </left>
      <right/>
      <top/>
      <bottom style="double">
        <color indexed="64"/>
      </bottom>
      <diagonal/>
    </border>
    <border>
      <left style="hair">
        <color indexed="12"/>
      </left>
      <right style="hair">
        <color indexed="12"/>
      </right>
      <top style="hair">
        <color indexed="12"/>
      </top>
      <bottom style="hair">
        <color indexed="12"/>
      </bottom>
      <diagonal/>
    </border>
    <border>
      <left style="thin">
        <color indexed="54"/>
      </left>
      <right style="thin">
        <color indexed="54"/>
      </right>
      <top style="thin">
        <color indexed="54"/>
      </top>
      <bottom style="thin">
        <color indexed="54"/>
      </bottom>
      <diagonal/>
    </border>
    <border>
      <left/>
      <right/>
      <top style="hair">
        <color indexed="64"/>
      </top>
      <bottom/>
      <diagonal/>
    </border>
    <border>
      <left style="medium">
        <color auto="1"/>
      </left>
      <right/>
      <top style="medium">
        <color auto="1"/>
      </top>
      <bottom/>
      <diagonal/>
    </border>
    <border>
      <left style="double">
        <color indexed="64"/>
      </left>
      <right/>
      <top style="double">
        <color indexed="64"/>
      </top>
      <bottom/>
      <diagonal/>
    </border>
    <border>
      <left style="dotted">
        <color indexed="10"/>
      </left>
      <right style="dotted">
        <color indexed="10"/>
      </right>
      <top style="dotted">
        <color indexed="10"/>
      </top>
      <bottom style="dotted">
        <color indexed="10"/>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style="thick">
        <color indexed="64"/>
      </top>
      <bottom style="hair">
        <color indexed="64"/>
      </bottom>
      <diagonal/>
    </border>
    <border>
      <left style="medium">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4"/>
      </top>
      <bottom style="thin">
        <color indexed="63"/>
      </bottom>
      <diagonal/>
    </border>
    <border>
      <left/>
      <right/>
      <top style="thin">
        <color indexed="8"/>
      </top>
      <bottom/>
      <diagonal/>
    </border>
    <border>
      <left/>
      <right style="thin">
        <color indexed="64"/>
      </right>
      <top style="thin">
        <color indexed="8"/>
      </top>
      <bottom/>
      <diagonal/>
    </border>
    <border>
      <left/>
      <right/>
      <top/>
      <bottom style="thick">
        <color indexed="48"/>
      </bottom>
      <diagonal/>
    </border>
    <border>
      <left/>
      <right style="thin">
        <color indexed="64"/>
      </right>
      <top/>
      <bottom style="thick">
        <color indexed="48"/>
      </bottom>
      <diagonal/>
    </border>
    <border>
      <left/>
      <right/>
      <top style="thick">
        <color indexed="48"/>
      </top>
      <bottom/>
      <diagonal/>
    </border>
    <border>
      <left/>
      <right style="thin">
        <color indexed="64"/>
      </right>
      <top style="thick">
        <color indexed="48"/>
      </top>
      <bottom/>
      <diagonal/>
    </border>
    <border>
      <left/>
      <right style="medium">
        <color indexed="64"/>
      </right>
      <top/>
      <bottom style="medium">
        <color indexed="64"/>
      </bottom>
      <diagonal/>
    </border>
    <border>
      <left/>
      <right/>
      <top style="thin">
        <color indexed="19"/>
      </top>
      <bottom/>
      <diagonal/>
    </border>
    <border>
      <left style="thin">
        <color indexed="64"/>
      </left>
      <right style="thin">
        <color indexed="64"/>
      </right>
      <top style="hair">
        <color indexed="64"/>
      </top>
      <bottom style="hair">
        <color indexed="64"/>
      </bottom>
      <diagonal/>
    </border>
    <border>
      <left/>
      <right/>
      <top/>
      <bottom style="medium">
        <color indexed="49"/>
      </bottom>
      <diagonal/>
    </border>
    <border>
      <left/>
      <right/>
      <top style="hair">
        <color auto="1"/>
      </top>
      <bottom style="hair">
        <color auto="1"/>
      </bottom>
      <diagonal/>
    </border>
    <border>
      <left/>
      <right/>
      <top style="thin">
        <color indexed="19"/>
      </top>
      <bottom style="double">
        <color indexed="19"/>
      </bottom>
      <diagonal/>
    </border>
    <border>
      <left/>
      <right/>
      <top style="thin">
        <color indexed="49"/>
      </top>
      <bottom style="double">
        <color indexed="49"/>
      </bottom>
      <diagonal/>
    </border>
    <border>
      <left/>
      <right/>
      <top style="thin">
        <color indexed="64"/>
      </top>
      <bottom style="double">
        <color indexed="64"/>
      </bottom>
      <diagonal/>
    </border>
    <border>
      <left style="hair">
        <color indexed="64"/>
      </left>
      <right/>
      <top style="hair">
        <color indexed="64"/>
      </top>
      <bottom/>
      <diagonal/>
    </border>
    <border>
      <left/>
      <right/>
      <top/>
      <bottom style="thick">
        <color indexed="17"/>
      </bottom>
      <diagonal/>
    </border>
    <border>
      <left/>
      <right/>
      <top/>
      <bottom style="thick">
        <color indexed="11"/>
      </bottom>
      <diagonal/>
    </border>
    <border>
      <left/>
      <right/>
      <top/>
      <bottom style="medium">
        <color indexed="11"/>
      </bottom>
      <diagonal/>
    </border>
    <border>
      <left/>
      <right/>
      <top style="thin">
        <color indexed="17"/>
      </top>
      <bottom style="double">
        <color indexed="17"/>
      </bottom>
      <diagonal/>
    </border>
    <border>
      <left style="thin">
        <color indexed="55"/>
      </left>
      <right style="thin">
        <color indexed="55"/>
      </right>
      <top style="thin">
        <color indexed="55"/>
      </top>
      <bottom style="thin">
        <color indexed="55"/>
      </bottom>
      <diagonal/>
    </border>
    <border>
      <left style="hair">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style="thin">
        <color theme="3" tint="0.59996337778862885"/>
      </top>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thin">
        <color indexed="4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rgb="FF808080"/>
      </left>
      <right/>
      <top style="thin">
        <color rgb="FF808080"/>
      </top>
      <bottom/>
      <diagonal/>
    </border>
    <border>
      <left style="thin">
        <color rgb="FF808080"/>
      </left>
      <right style="thin">
        <color rgb="FF808080"/>
      </right>
      <top style="thin">
        <color rgb="FF808080"/>
      </top>
      <bottom style="thin">
        <color rgb="FF808080"/>
      </bottom>
      <diagonal/>
    </border>
    <border>
      <left/>
      <right/>
      <top style="thin">
        <color rgb="FF808080"/>
      </top>
      <bottom/>
      <diagonal/>
    </border>
    <border>
      <left style="thin">
        <color rgb="FF808080"/>
      </left>
      <right/>
      <top/>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theme="3" tint="0.59996337778862885"/>
      </left>
      <right style="thin">
        <color rgb="FF808080"/>
      </right>
      <top style="thin">
        <color theme="3" tint="0.59996337778862885"/>
      </top>
      <bottom style="thin">
        <color theme="3" tint="0.59996337778862885"/>
      </bottom>
      <diagonal/>
    </border>
    <border>
      <left style="thin">
        <color theme="3" tint="0.59996337778862885"/>
      </left>
      <right style="thin">
        <color rgb="FF808080"/>
      </right>
      <top style="thin">
        <color theme="3" tint="0.59996337778862885"/>
      </top>
      <bottom/>
      <diagonal/>
    </border>
    <border>
      <left style="thin">
        <color rgb="FF808080"/>
      </left>
      <right/>
      <top style="thin">
        <color rgb="FF808080"/>
      </top>
      <bottom style="thin">
        <color rgb="FF808080"/>
      </bottom>
      <diagonal/>
    </border>
    <border>
      <left style="thin">
        <color rgb="FF808080"/>
      </left>
      <right style="thin">
        <color rgb="FF808080"/>
      </right>
      <top style="thin">
        <color indexed="64"/>
      </top>
      <bottom style="thin">
        <color rgb="FF808080"/>
      </bottom>
      <diagonal/>
    </border>
    <border>
      <left style="thin">
        <color rgb="FF808080"/>
      </left>
      <right style="thin">
        <color indexed="64"/>
      </right>
      <top style="thin">
        <color indexed="64"/>
      </top>
      <bottom/>
      <diagonal/>
    </border>
    <border>
      <left style="thin">
        <color indexed="64"/>
      </left>
      <right/>
      <top/>
      <bottom style="thin">
        <color rgb="FF808080"/>
      </bottom>
      <diagonal/>
    </border>
    <border>
      <left style="thin">
        <color rgb="FF808080"/>
      </left>
      <right style="thin">
        <color indexed="64"/>
      </right>
      <top/>
      <bottom style="thin">
        <color rgb="FF808080"/>
      </bottom>
      <diagonal/>
    </border>
    <border>
      <left style="thin">
        <color indexed="64"/>
      </left>
      <right style="thin">
        <color rgb="FF808080"/>
      </right>
      <top style="thin">
        <color rgb="FF808080"/>
      </top>
      <bottom style="thin">
        <color rgb="FF808080"/>
      </bottom>
      <diagonal/>
    </border>
    <border>
      <left style="thin">
        <color theme="3" tint="0.59996337778862885"/>
      </left>
      <right style="thin">
        <color indexed="64"/>
      </right>
      <top style="thin">
        <color theme="3" tint="0.59996337778862885"/>
      </top>
      <bottom style="thin">
        <color theme="3" tint="0.59996337778862885"/>
      </bottom>
      <diagonal/>
    </border>
    <border>
      <left style="thin">
        <color indexed="64"/>
      </left>
      <right/>
      <top style="thin">
        <color rgb="FF808080"/>
      </top>
      <bottom/>
      <diagonal/>
    </border>
    <border>
      <left style="thin">
        <color indexed="64"/>
      </left>
      <right style="thin">
        <color rgb="FF808080"/>
      </right>
      <top style="thin">
        <color rgb="FF808080"/>
      </top>
      <bottom style="thin">
        <color indexed="64"/>
      </bottom>
      <diagonal/>
    </border>
    <border>
      <left style="thin">
        <color theme="3" tint="0.59996337778862885"/>
      </left>
      <right style="thin">
        <color theme="3" tint="0.59996337778862885"/>
      </right>
      <top style="thin">
        <color theme="3" tint="0.59996337778862885"/>
      </top>
      <bottom style="thin">
        <color indexed="64"/>
      </bottom>
      <diagonal/>
    </border>
    <border>
      <left style="thin">
        <color theme="3" tint="0.59996337778862885"/>
      </left>
      <right style="thin">
        <color indexed="64"/>
      </right>
      <top style="thin">
        <color theme="3" tint="0.59996337778862885"/>
      </top>
      <bottom style="thin">
        <color indexed="64"/>
      </bottom>
      <diagonal/>
    </border>
    <border>
      <left style="thin">
        <color indexed="64"/>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4913">
    <xf numFmtId="0" fontId="0" fillId="0" borderId="0"/>
    <xf numFmtId="9" fontId="1" fillId="0" borderId="0" applyFont="0" applyFill="0" applyBorder="0" applyAlignment="0" applyProtection="0"/>
    <xf numFmtId="0" fontId="17" fillId="13" borderId="0" applyNumberFormat="0" applyBorder="0" applyAlignment="0" applyProtection="0"/>
    <xf numFmtId="0" fontId="17" fillId="29" borderId="0" applyNumberFormat="0" applyBorder="0" applyAlignment="0" applyProtection="0"/>
    <xf numFmtId="0" fontId="18" fillId="0" borderId="0"/>
    <xf numFmtId="0" fontId="25" fillId="0" borderId="0"/>
    <xf numFmtId="0" fontId="28" fillId="0" borderId="0"/>
    <xf numFmtId="0" fontId="8" fillId="4" borderId="0" applyNumberFormat="0" applyBorder="0" applyAlignment="0" applyProtection="0"/>
    <xf numFmtId="0" fontId="36" fillId="48" borderId="0" applyNumberFormat="0" applyBorder="0" applyAlignment="0" applyProtection="0"/>
    <xf numFmtId="9" fontId="37" fillId="0" borderId="0" applyFont="0" applyFill="0" applyBorder="0" applyAlignment="0" applyProtection="0"/>
    <xf numFmtId="43" fontId="1" fillId="0" borderId="0" applyFont="0" applyFill="0" applyBorder="0" applyAlignment="0" applyProtection="0"/>
    <xf numFmtId="0" fontId="37" fillId="0" borderId="0"/>
    <xf numFmtId="9" fontId="25" fillId="0" borderId="0" applyFont="0" applyFill="0" applyBorder="0" applyAlignment="0" applyProtection="0"/>
    <xf numFmtId="9" fontId="37" fillId="0" borderId="0" applyFont="0" applyFill="0" applyBorder="0" applyAlignment="0" applyProtection="0"/>
    <xf numFmtId="0" fontId="28" fillId="0" borderId="0"/>
    <xf numFmtId="0" fontId="37" fillId="0" borderId="0"/>
    <xf numFmtId="172" fontId="1" fillId="0" borderId="0" applyFont="0" applyFill="0" applyBorder="0" applyAlignment="0" applyProtection="0"/>
    <xf numFmtId="9" fontId="37" fillId="0" borderId="0" applyFont="0" applyFill="0" applyBorder="0" applyAlignment="0" applyProtection="0"/>
    <xf numFmtId="0" fontId="37" fillId="0" borderId="0"/>
    <xf numFmtId="0" fontId="17" fillId="9" borderId="0" applyNumberFormat="0" applyBorder="0" applyAlignment="0" applyProtection="0"/>
    <xf numFmtId="9" fontId="37" fillId="0" borderId="0" applyFont="0" applyFill="0" applyBorder="0" applyAlignment="0" applyProtection="0"/>
    <xf numFmtId="0" fontId="52" fillId="0" borderId="0" applyNumberFormat="0" applyFont="0" applyBorder="0" applyAlignment="0" applyProtection="0">
      <alignment horizontal="center" vertical="center" wrapText="1"/>
      <protection locked="0"/>
    </xf>
    <xf numFmtId="175" fontId="28" fillId="0" borderId="0" applyFill="0" applyBorder="0" applyAlignment="0" applyProtection="0"/>
    <xf numFmtId="0" fontId="28" fillId="0" borderId="0"/>
    <xf numFmtId="176" fontId="53" fillId="53" borderId="0" applyBorder="0">
      <alignment horizontal="center"/>
      <protection locked="0"/>
    </xf>
    <xf numFmtId="176" fontId="53" fillId="0" borderId="0" applyFill="0" applyBorder="0">
      <alignment horizontal="center"/>
    </xf>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Protection="0"/>
    <xf numFmtId="0" fontId="51" fillId="0" borderId="0" applyNumberFormat="0" applyFill="0" applyBorder="0" applyProtection="0"/>
    <xf numFmtId="0" fontId="28" fillId="0" borderId="0"/>
    <xf numFmtId="0" fontId="28" fillId="0" borderId="0"/>
    <xf numFmtId="0" fontId="54"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55" fillId="51" borderId="0"/>
    <xf numFmtId="0" fontId="28" fillId="51" borderId="0"/>
    <xf numFmtId="0" fontId="28" fillId="51" borderId="0"/>
    <xf numFmtId="0" fontId="55" fillId="51" borderId="0"/>
    <xf numFmtId="0" fontId="28" fillId="51" borderId="0"/>
    <xf numFmtId="0" fontId="55" fillId="51" borderId="0"/>
    <xf numFmtId="0" fontId="28" fillId="51" borderId="0"/>
    <xf numFmtId="0" fontId="55" fillId="51" borderId="0"/>
    <xf numFmtId="0" fontId="55" fillId="51" borderId="0"/>
    <xf numFmtId="0" fontId="28" fillId="51" borderId="0"/>
    <xf numFmtId="0" fontId="28" fillId="51" borderId="0"/>
    <xf numFmtId="0" fontId="55" fillId="51" borderId="0"/>
    <xf numFmtId="0" fontId="28" fillId="51" borderId="0"/>
    <xf numFmtId="0" fontId="28" fillId="51" borderId="0"/>
    <xf numFmtId="0" fontId="28" fillId="51" borderId="0"/>
    <xf numFmtId="0" fontId="28" fillId="51" borderId="0"/>
    <xf numFmtId="0" fontId="56" fillId="51" borderId="0"/>
    <xf numFmtId="0" fontId="28" fillId="51" borderId="0"/>
    <xf numFmtId="0" fontId="28" fillId="51" borderId="0"/>
    <xf numFmtId="0" fontId="56" fillId="51" borderId="0"/>
    <xf numFmtId="0" fontId="28" fillId="51" borderId="0"/>
    <xf numFmtId="0" fontId="56" fillId="51" borderId="0"/>
    <xf numFmtId="0" fontId="28" fillId="51" borderId="0"/>
    <xf numFmtId="0" fontId="56" fillId="51" borderId="0"/>
    <xf numFmtId="0" fontId="56" fillId="51" borderId="0"/>
    <xf numFmtId="0" fontId="28" fillId="51" borderId="0"/>
    <xf numFmtId="0" fontId="28" fillId="51" borderId="0"/>
    <xf numFmtId="0" fontId="56"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57" fillId="51" borderId="0"/>
    <xf numFmtId="0" fontId="28" fillId="51" borderId="0"/>
    <xf numFmtId="0" fontId="28" fillId="51" borderId="0"/>
    <xf numFmtId="0" fontId="57" fillId="51" borderId="0"/>
    <xf numFmtId="0" fontId="57"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57"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57" fillId="51" borderId="0"/>
    <xf numFmtId="0" fontId="57" fillId="51" borderId="0"/>
    <xf numFmtId="0" fontId="57"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57" fillId="51" borderId="0"/>
    <xf numFmtId="0" fontId="57" fillId="51" borderId="0"/>
    <xf numFmtId="0" fontId="57" fillId="51" borderId="0"/>
    <xf numFmtId="0" fontId="57" fillId="51" borderId="0"/>
    <xf numFmtId="0" fontId="57" fillId="51" borderId="0"/>
    <xf numFmtId="0" fontId="57"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57" fillId="51" borderId="0"/>
    <xf numFmtId="0" fontId="57" fillId="51" borderId="0"/>
    <xf numFmtId="0" fontId="57"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58" fillId="51" borderId="0"/>
    <xf numFmtId="0" fontId="28" fillId="51" borderId="0"/>
    <xf numFmtId="0" fontId="28" fillId="51" borderId="0"/>
    <xf numFmtId="0" fontId="58" fillId="51" borderId="0"/>
    <xf numFmtId="0" fontId="28" fillId="51" borderId="0"/>
    <xf numFmtId="0" fontId="58" fillId="51" borderId="0"/>
    <xf numFmtId="0" fontId="28" fillId="51" borderId="0"/>
    <xf numFmtId="0" fontId="58" fillId="51" borderId="0"/>
    <xf numFmtId="0" fontId="58" fillId="51" borderId="0"/>
    <xf numFmtId="0" fontId="28" fillId="51" borderId="0"/>
    <xf numFmtId="0" fontId="28" fillId="51" borderId="0"/>
    <xf numFmtId="0" fontId="58" fillId="51" borderId="0"/>
    <xf numFmtId="0" fontId="28" fillId="51" borderId="0"/>
    <xf numFmtId="0" fontId="28" fillId="51" borderId="0"/>
    <xf numFmtId="0" fontId="28" fillId="51" borderId="0"/>
    <xf numFmtId="0" fontId="28" fillId="51" borderId="0"/>
    <xf numFmtId="0" fontId="59" fillId="51" borderId="0"/>
    <xf numFmtId="0" fontId="28" fillId="51" borderId="0"/>
    <xf numFmtId="0" fontId="28" fillId="51" borderId="0"/>
    <xf numFmtId="0" fontId="59" fillId="51" borderId="0"/>
    <xf numFmtId="0" fontId="28" fillId="51" borderId="0"/>
    <xf numFmtId="0" fontId="59" fillId="51" borderId="0"/>
    <xf numFmtId="0" fontId="28" fillId="51" borderId="0"/>
    <xf numFmtId="0" fontId="59" fillId="51" borderId="0"/>
    <xf numFmtId="0" fontId="59" fillId="51" borderId="0"/>
    <xf numFmtId="0" fontId="28" fillId="51" borderId="0"/>
    <xf numFmtId="0" fontId="28" fillId="51" borderId="0"/>
    <xf numFmtId="0" fontId="59" fillId="51" borderId="0"/>
    <xf numFmtId="0" fontId="28" fillId="51" borderId="0"/>
    <xf numFmtId="0" fontId="28" fillId="51" borderId="0"/>
    <xf numFmtId="0" fontId="28" fillId="51" borderId="0"/>
    <xf numFmtId="0" fontId="28" fillId="51" borderId="0"/>
    <xf numFmtId="0" fontId="51" fillId="51" borderId="0"/>
    <xf numFmtId="0" fontId="28" fillId="51" borderId="0"/>
    <xf numFmtId="0" fontId="28" fillId="51" borderId="0"/>
    <xf numFmtId="0" fontId="51" fillId="51" borderId="0"/>
    <xf numFmtId="0" fontId="28" fillId="51" borderId="0"/>
    <xf numFmtId="0" fontId="51" fillId="51" borderId="0"/>
    <xf numFmtId="0" fontId="28" fillId="51" borderId="0"/>
    <xf numFmtId="0" fontId="51" fillId="51" borderId="0"/>
    <xf numFmtId="0" fontId="51" fillId="51" borderId="0"/>
    <xf numFmtId="0" fontId="28" fillId="51" borderId="0"/>
    <xf numFmtId="0" fontId="28" fillId="51" borderId="0"/>
    <xf numFmtId="0" fontId="51" fillId="51" borderId="0"/>
    <xf numFmtId="0" fontId="28" fillId="51" borderId="0"/>
    <xf numFmtId="0" fontId="28" fillId="51"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Protection="0"/>
    <xf numFmtId="0" fontId="60" fillId="0" borderId="0"/>
    <xf numFmtId="0" fontId="28" fillId="0" borderId="0"/>
    <xf numFmtId="0" fontId="60" fillId="0" borderId="0"/>
    <xf numFmtId="0" fontId="28" fillId="0" borderId="0"/>
    <xf numFmtId="0" fontId="60" fillId="0" borderId="0"/>
    <xf numFmtId="0" fontId="28" fillId="0" borderId="0"/>
    <xf numFmtId="0" fontId="60" fillId="0" borderId="0"/>
    <xf numFmtId="0" fontId="28" fillId="0" borderId="0"/>
    <xf numFmtId="0" fontId="60" fillId="0" borderId="0"/>
    <xf numFmtId="0" fontId="28" fillId="0" borderId="0"/>
    <xf numFmtId="0" fontId="60" fillId="0" borderId="0"/>
    <xf numFmtId="0" fontId="28" fillId="0" borderId="0"/>
    <xf numFmtId="177" fontId="28" fillId="49" borderId="0"/>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0"/>
    <xf numFmtId="177" fontId="28" fillId="49" borderId="0"/>
    <xf numFmtId="177" fontId="28" fillId="49" borderId="0"/>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0"/>
    <xf numFmtId="177" fontId="28" fillId="49" borderId="0"/>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0"/>
    <xf numFmtId="177" fontId="28" fillId="49" borderId="0"/>
    <xf numFmtId="177" fontId="28" fillId="49" borderId="0"/>
    <xf numFmtId="177" fontId="28" fillId="49" borderId="0"/>
    <xf numFmtId="177" fontId="28" fillId="49" borderId="42"/>
    <xf numFmtId="177" fontId="28" fillId="49" borderId="0"/>
    <xf numFmtId="177" fontId="28" fillId="49" borderId="42"/>
    <xf numFmtId="177" fontId="28" fillId="49" borderId="42"/>
    <xf numFmtId="177" fontId="28" fillId="49" borderId="0"/>
    <xf numFmtId="177" fontId="28" fillId="49" borderId="42"/>
    <xf numFmtId="177" fontId="28" fillId="49" borderId="0"/>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0"/>
    <xf numFmtId="177" fontId="28" fillId="49" borderId="0"/>
    <xf numFmtId="177" fontId="28" fillId="49" borderId="0"/>
    <xf numFmtId="177" fontId="28" fillId="49" borderId="42"/>
    <xf numFmtId="177" fontId="28" fillId="49" borderId="0"/>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177" fontId="28" fillId="49" borderId="42"/>
    <xf numFmtId="0" fontId="28" fillId="0" borderId="0"/>
    <xf numFmtId="0" fontId="28" fillId="0" borderId="0"/>
    <xf numFmtId="0" fontId="54"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51" fillId="0" borderId="0" applyNumberFormat="0" applyFill="0" applyBorder="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Protection="0"/>
    <xf numFmtId="0" fontId="51" fillId="0" borderId="0" applyNumberFormat="0" applyFill="0" applyBorder="0" applyProtection="0"/>
    <xf numFmtId="0" fontId="28" fillId="49" borderId="0"/>
    <xf numFmtId="0" fontId="28" fillId="49" borderId="0"/>
    <xf numFmtId="0" fontId="56" fillId="49" borderId="0"/>
    <xf numFmtId="0" fontId="28" fillId="49" borderId="0"/>
    <xf numFmtId="0" fontId="28" fillId="49" borderId="0"/>
    <xf numFmtId="0" fontId="56" fillId="49" borderId="0"/>
    <xf numFmtId="0" fontId="28" fillId="49" borderId="0"/>
    <xf numFmtId="0" fontId="56" fillId="49" borderId="0"/>
    <xf numFmtId="0" fontId="28" fillId="49" borderId="0"/>
    <xf numFmtId="0" fontId="56" fillId="49" borderId="0"/>
    <xf numFmtId="0" fontId="56" fillId="49" borderId="0"/>
    <xf numFmtId="0" fontId="28" fillId="49" borderId="0"/>
    <xf numFmtId="0" fontId="28" fillId="49" borderId="0"/>
    <xf numFmtId="0" fontId="56" fillId="49" borderId="0"/>
    <xf numFmtId="0" fontId="28" fillId="49" borderId="0"/>
    <xf numFmtId="0" fontId="28" fillId="49" borderId="0"/>
    <xf numFmtId="0" fontId="60" fillId="0" borderId="0"/>
    <xf numFmtId="0" fontId="28" fillId="0" borderId="0"/>
    <xf numFmtId="0" fontId="60" fillId="0" borderId="0"/>
    <xf numFmtId="0" fontId="28" fillId="0" borderId="0"/>
    <xf numFmtId="0" fontId="28" fillId="0" borderId="0"/>
    <xf numFmtId="0" fontId="28" fillId="0" borderId="0"/>
    <xf numFmtId="0" fontId="54" fillId="0" borderId="0"/>
    <xf numFmtId="0" fontId="60" fillId="0" borderId="0"/>
    <xf numFmtId="0" fontId="28" fillId="0" borderId="0"/>
    <xf numFmtId="0" fontId="60" fillId="0" borderId="0"/>
    <xf numFmtId="0" fontId="28" fillId="0" borderId="0"/>
    <xf numFmtId="0" fontId="60" fillId="0" borderId="0" applyNumberFormat="0" applyFont="0" applyBorder="0" applyAlignment="0"/>
    <xf numFmtId="0" fontId="28" fillId="0" borderId="0" applyNumberFormat="0" applyBorder="0" applyAlignment="0"/>
    <xf numFmtId="0" fontId="60" fillId="0" borderId="0" applyNumberFormat="0" applyFont="0" applyBorder="0" applyAlignment="0"/>
    <xf numFmtId="0" fontId="28" fillId="0" borderId="0" applyNumberFormat="0" applyBorder="0" applyAlignment="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54"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Protection="0"/>
    <xf numFmtId="0" fontId="28" fillId="0" borderId="0" applyNumberFormat="0" applyFill="0" applyBorder="0" applyAlignment="0" applyProtection="0"/>
    <xf numFmtId="0" fontId="51" fillId="0" borderId="0" applyNumberFormat="0" applyFill="0" applyBorder="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54"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61" fillId="54" borderId="14">
      <alignment horizontal="center"/>
    </xf>
    <xf numFmtId="0" fontId="61" fillId="54" borderId="14">
      <alignment horizontal="center"/>
    </xf>
    <xf numFmtId="0" fontId="61" fillId="54" borderId="14">
      <alignment horizontal="center"/>
    </xf>
    <xf numFmtId="0" fontId="61" fillId="54" borderId="14">
      <alignment horizontal="center"/>
    </xf>
    <xf numFmtId="0" fontId="61" fillId="54" borderId="14">
      <alignment horizontal="center"/>
    </xf>
    <xf numFmtId="0" fontId="61" fillId="54" borderId="14">
      <alignment horizontal="center"/>
    </xf>
    <xf numFmtId="4" fontId="51" fillId="0" borderId="14"/>
    <xf numFmtId="4" fontId="51" fillId="0" borderId="14"/>
    <xf numFmtId="4" fontId="51" fillId="0" borderId="14"/>
    <xf numFmtId="4" fontId="51" fillId="0" borderId="14"/>
    <xf numFmtId="4" fontId="51" fillId="0" borderId="14"/>
    <xf numFmtId="4" fontId="51" fillId="0" borderId="14"/>
    <xf numFmtId="0" fontId="62" fillId="0" borderId="14">
      <alignment horizontal="center"/>
    </xf>
    <xf numFmtId="0" fontId="62" fillId="0" borderId="14">
      <alignment horizontal="center"/>
    </xf>
    <xf numFmtId="0" fontId="62" fillId="0" borderId="14">
      <alignment horizontal="center"/>
    </xf>
    <xf numFmtId="0" fontId="62" fillId="0" borderId="14">
      <alignment horizontal="center"/>
    </xf>
    <xf numFmtId="0" fontId="62" fillId="0" borderId="14">
      <alignment horizontal="center"/>
    </xf>
    <xf numFmtId="0" fontId="62" fillId="0" borderId="14">
      <alignment horizontal="center"/>
    </xf>
    <xf numFmtId="0" fontId="63" fillId="55" borderId="14">
      <alignment horizontal="center"/>
    </xf>
    <xf numFmtId="0" fontId="63" fillId="55" borderId="14">
      <alignment horizontal="center"/>
    </xf>
    <xf numFmtId="0" fontId="63" fillId="55" borderId="14">
      <alignment horizontal="center"/>
    </xf>
    <xf numFmtId="0" fontId="63" fillId="55" borderId="14">
      <alignment horizontal="center"/>
    </xf>
    <xf numFmtId="0" fontId="63" fillId="55" borderId="14">
      <alignment horizontal="center"/>
    </xf>
    <xf numFmtId="0" fontId="63" fillId="55" borderId="14">
      <alignment horizontal="center"/>
    </xf>
    <xf numFmtId="0" fontId="61" fillId="54" borderId="14"/>
    <xf numFmtId="0" fontId="61" fillId="54" borderId="14"/>
    <xf numFmtId="0" fontId="61" fillId="54" borderId="14"/>
    <xf numFmtId="0" fontId="61" fillId="54" borderId="14"/>
    <xf numFmtId="0" fontId="61" fillId="54" borderId="14"/>
    <xf numFmtId="0" fontId="61" fillId="54" borderId="14"/>
    <xf numFmtId="0" fontId="64" fillId="0"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55" fillId="51" borderId="0"/>
    <xf numFmtId="0" fontId="28" fillId="51" borderId="0"/>
    <xf numFmtId="0" fontId="28" fillId="51" borderId="0"/>
    <xf numFmtId="0" fontId="55" fillId="51" borderId="0"/>
    <xf numFmtId="0" fontId="28" fillId="51" borderId="0"/>
    <xf numFmtId="0" fontId="55" fillId="51" borderId="0"/>
    <xf numFmtId="0" fontId="28" fillId="51" borderId="0"/>
    <xf numFmtId="0" fontId="55" fillId="51" borderId="0"/>
    <xf numFmtId="0" fontId="55" fillId="51" borderId="0"/>
    <xf numFmtId="0" fontId="28" fillId="51" borderId="0"/>
    <xf numFmtId="0" fontId="28" fillId="51" borderId="0"/>
    <xf numFmtId="0" fontId="55" fillId="51" borderId="0"/>
    <xf numFmtId="0" fontId="28" fillId="51" borderId="0"/>
    <xf numFmtId="0" fontId="28" fillId="51" borderId="0"/>
    <xf numFmtId="0" fontId="28" fillId="51" borderId="0"/>
    <xf numFmtId="0" fontId="28" fillId="51" borderId="0"/>
    <xf numFmtId="0" fontId="56" fillId="51" borderId="0"/>
    <xf numFmtId="0" fontId="28" fillId="51" borderId="0"/>
    <xf numFmtId="0" fontId="28" fillId="51" borderId="0"/>
    <xf numFmtId="0" fontId="56" fillId="51" borderId="0"/>
    <xf numFmtId="0" fontId="28" fillId="51" borderId="0"/>
    <xf numFmtId="0" fontId="56" fillId="51" borderId="0"/>
    <xf numFmtId="0" fontId="28" fillId="51" borderId="0"/>
    <xf numFmtId="0" fontId="56" fillId="51" borderId="0"/>
    <xf numFmtId="0" fontId="56" fillId="51" borderId="0"/>
    <xf numFmtId="0" fontId="28" fillId="51" borderId="0"/>
    <xf numFmtId="0" fontId="28" fillId="51" borderId="0"/>
    <xf numFmtId="0" fontId="56" fillId="51" borderId="0"/>
    <xf numFmtId="0" fontId="28" fillId="51" borderId="0"/>
    <xf numFmtId="0" fontId="28" fillId="51" borderId="0"/>
    <xf numFmtId="0" fontId="28" fillId="51" borderId="0"/>
    <xf numFmtId="0" fontId="28" fillId="51" borderId="0"/>
    <xf numFmtId="0" fontId="28" fillId="51" borderId="0"/>
    <xf numFmtId="0" fontId="28" fillId="51" borderId="0"/>
    <xf numFmtId="0" fontId="58" fillId="51" borderId="0"/>
    <xf numFmtId="0" fontId="28" fillId="51" borderId="0"/>
    <xf numFmtId="0" fontId="28" fillId="51" borderId="0"/>
    <xf numFmtId="0" fontId="58" fillId="51" borderId="0"/>
    <xf numFmtId="0" fontId="28" fillId="51" borderId="0"/>
    <xf numFmtId="0" fontId="58" fillId="51" borderId="0"/>
    <xf numFmtId="0" fontId="28" fillId="51" borderId="0"/>
    <xf numFmtId="0" fontId="58" fillId="51" borderId="0"/>
    <xf numFmtId="0" fontId="58" fillId="51" borderId="0"/>
    <xf numFmtId="0" fontId="28" fillId="51" borderId="0"/>
    <xf numFmtId="0" fontId="28" fillId="51" borderId="0"/>
    <xf numFmtId="0" fontId="58" fillId="51" borderId="0"/>
    <xf numFmtId="0" fontId="28" fillId="51" borderId="0"/>
    <xf numFmtId="0" fontId="28" fillId="51" borderId="0"/>
    <xf numFmtId="0" fontId="28" fillId="51" borderId="0"/>
    <xf numFmtId="0" fontId="28" fillId="51" borderId="0"/>
    <xf numFmtId="0" fontId="59" fillId="51" borderId="0"/>
    <xf numFmtId="0" fontId="28" fillId="51" borderId="0"/>
    <xf numFmtId="0" fontId="28" fillId="51" borderId="0"/>
    <xf numFmtId="0" fontId="59" fillId="51" borderId="0"/>
    <xf numFmtId="0" fontId="28" fillId="51" borderId="0"/>
    <xf numFmtId="0" fontId="59" fillId="51" borderId="0"/>
    <xf numFmtId="0" fontId="28" fillId="51" borderId="0"/>
    <xf numFmtId="0" fontId="59" fillId="51" borderId="0"/>
    <xf numFmtId="0" fontId="59" fillId="51" borderId="0"/>
    <xf numFmtId="0" fontId="28" fillId="51" borderId="0"/>
    <xf numFmtId="0" fontId="28" fillId="51" borderId="0"/>
    <xf numFmtId="0" fontId="59" fillId="51" borderId="0"/>
    <xf numFmtId="0" fontId="28" fillId="51" borderId="0"/>
    <xf numFmtId="0" fontId="28" fillId="51" borderId="0"/>
    <xf numFmtId="0" fontId="28" fillId="51" borderId="0"/>
    <xf numFmtId="0" fontId="28" fillId="51" borderId="0"/>
    <xf numFmtId="0" fontId="51" fillId="51" borderId="0"/>
    <xf numFmtId="0" fontId="28" fillId="51" borderId="0"/>
    <xf numFmtId="0" fontId="28" fillId="51" borderId="0"/>
    <xf numFmtId="0" fontId="51" fillId="51" borderId="0"/>
    <xf numFmtId="0" fontId="28" fillId="51" borderId="0"/>
    <xf numFmtId="0" fontId="51" fillId="51" borderId="0"/>
    <xf numFmtId="0" fontId="28" fillId="51" borderId="0"/>
    <xf numFmtId="0" fontId="51" fillId="51" borderId="0"/>
    <xf numFmtId="0" fontId="51" fillId="51" borderId="0"/>
    <xf numFmtId="0" fontId="28" fillId="51" borderId="0"/>
    <xf numFmtId="0" fontId="28" fillId="51" borderId="0"/>
    <xf numFmtId="0" fontId="51" fillId="51" borderId="0"/>
    <xf numFmtId="0" fontId="28" fillId="51" borderId="0"/>
    <xf numFmtId="0" fontId="28" fillId="51" borderId="0"/>
    <xf numFmtId="0" fontId="28" fillId="0" borderId="0"/>
    <xf numFmtId="0" fontId="28" fillId="0" borderId="0"/>
    <xf numFmtId="0" fontId="54"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Protection="0"/>
    <xf numFmtId="0" fontId="51" fillId="0" borderId="0" applyNumberFormat="0" applyFill="0" applyBorder="0" applyProtection="0"/>
    <xf numFmtId="0" fontId="51" fillId="0" borderId="0" applyNumberFormat="0" applyFill="0" applyBorder="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60"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60" fillId="0" borderId="0"/>
    <xf numFmtId="0" fontId="28" fillId="0" borderId="0"/>
    <xf numFmtId="0" fontId="60" fillId="0" borderId="0"/>
    <xf numFmtId="0" fontId="28" fillId="0" borderId="0"/>
    <xf numFmtId="0" fontId="60" fillId="0" borderId="0"/>
    <xf numFmtId="0" fontId="28" fillId="0" borderId="0"/>
    <xf numFmtId="0" fontId="60" fillId="0" borderId="0"/>
    <xf numFmtId="0" fontId="28" fillId="0" borderId="0"/>
    <xf numFmtId="0" fontId="60" fillId="0" borderId="0"/>
    <xf numFmtId="0" fontId="28" fillId="0" borderId="0"/>
    <xf numFmtId="0" fontId="60" fillId="0" borderId="0"/>
    <xf numFmtId="0" fontId="28" fillId="0" borderId="0"/>
    <xf numFmtId="0" fontId="60" fillId="0" borderId="0"/>
    <xf numFmtId="0" fontId="28" fillId="0" borderId="0"/>
    <xf numFmtId="0" fontId="60" fillId="0" borderId="0"/>
    <xf numFmtId="0" fontId="28" fillId="0" borderId="0"/>
    <xf numFmtId="0" fontId="60" fillId="0" borderId="0"/>
    <xf numFmtId="0" fontId="28" fillId="0" borderId="0"/>
    <xf numFmtId="0" fontId="60" fillId="0" borderId="0"/>
    <xf numFmtId="0" fontId="28" fillId="0" borderId="0"/>
    <xf numFmtId="0" fontId="60" fillId="0" borderId="0"/>
    <xf numFmtId="0" fontId="28" fillId="0" borderId="0"/>
    <xf numFmtId="0" fontId="60"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65"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8" fontId="66" fillId="51" borderId="43" applyNumberFormat="0" applyFont="0" applyFill="0" applyBorder="0" applyAlignment="0" applyProtection="0">
      <alignment horizontal="center" vertical="center" wrapText="1"/>
      <protection locked="0"/>
    </xf>
    <xf numFmtId="178" fontId="66" fillId="51" borderId="43" applyNumberFormat="0" applyFont="0" applyFill="0" applyBorder="0" applyAlignment="0" applyProtection="0">
      <alignment horizontal="center" vertical="center" wrapText="1"/>
      <protection locked="0"/>
    </xf>
    <xf numFmtId="178" fontId="66" fillId="51" borderId="43" applyNumberFormat="0" applyFont="0" applyFill="0" applyBorder="0" applyAlignment="0" applyProtection="0">
      <alignment horizontal="center" vertical="center" wrapText="1"/>
      <protection locked="0"/>
    </xf>
    <xf numFmtId="178" fontId="66" fillId="51" borderId="43" applyNumberFormat="0" applyFont="0" applyFill="0" applyBorder="0" applyAlignment="0" applyProtection="0">
      <alignment horizontal="center" vertical="center" wrapText="1"/>
      <protection locked="0"/>
    </xf>
    <xf numFmtId="178" fontId="66" fillId="51" borderId="43" applyNumberFormat="0" applyFont="0" applyFill="0" applyBorder="0" applyAlignment="0" applyProtection="0">
      <alignment horizontal="center" vertical="center" wrapText="1"/>
      <protection locked="0"/>
    </xf>
    <xf numFmtId="178" fontId="66" fillId="51" borderId="43" applyNumberFormat="0" applyFont="0" applyFill="0" applyBorder="0" applyAlignment="0" applyProtection="0">
      <alignment horizontal="center" vertical="center" wrapText="1"/>
      <protection locked="0"/>
    </xf>
    <xf numFmtId="178" fontId="66" fillId="51" borderId="43" applyNumberFormat="0" applyFont="0" applyFill="0" applyBorder="0" applyAlignment="0" applyProtection="0">
      <alignment horizontal="center" vertical="center" wrapText="1"/>
      <protection locked="0"/>
    </xf>
    <xf numFmtId="178" fontId="66" fillId="51" borderId="43" applyNumberFormat="0" applyFont="0" applyFill="0" applyBorder="0" applyAlignment="0" applyProtection="0">
      <alignment horizontal="center" vertical="center" wrapText="1"/>
      <protection locked="0"/>
    </xf>
    <xf numFmtId="0" fontId="28" fillId="0" borderId="0" applyNumberFormat="0" applyFill="0" applyBorder="0" applyAlignment="0" applyProtection="0"/>
    <xf numFmtId="0" fontId="67" fillId="0" borderId="0"/>
    <xf numFmtId="0" fontId="67" fillId="0" borderId="0"/>
    <xf numFmtId="179" fontId="53" fillId="53" borderId="0" applyBorder="0">
      <alignment horizontal="center"/>
      <protection locked="0"/>
    </xf>
    <xf numFmtId="179" fontId="53" fillId="0" borderId="0" applyFill="0" applyBorder="0">
      <alignment horizontal="center"/>
    </xf>
    <xf numFmtId="0" fontId="68" fillId="0" borderId="44" applyNumberFormat="0" applyFill="0" applyAlignment="0" applyProtection="0"/>
    <xf numFmtId="170" fontId="28" fillId="0" borderId="0">
      <protection locked="0"/>
    </xf>
    <xf numFmtId="180" fontId="28" fillId="0" borderId="0" applyFill="0" applyBorder="0" applyAlignment="0" applyProtection="0"/>
    <xf numFmtId="0" fontId="69" fillId="0" borderId="45" applyNumberFormat="0" applyFill="0" applyAlignment="0" applyProtection="0"/>
    <xf numFmtId="181" fontId="53" fillId="53" borderId="0" applyBorder="0">
      <alignment horizontal="center"/>
      <protection locked="0"/>
    </xf>
    <xf numFmtId="181" fontId="53" fillId="0" borderId="0" applyFill="0" applyBorder="0">
      <alignment horizontal="center"/>
    </xf>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56" borderId="0" applyNumberFormat="0" applyBorder="0" applyAlignment="0" applyProtection="0"/>
    <xf numFmtId="0" fontId="25" fillId="48" borderId="0" applyNumberFormat="0" applyBorder="0" applyAlignment="0" applyProtection="0"/>
    <xf numFmtId="0" fontId="25" fillId="57"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56" borderId="0" applyNumberFormat="0" applyBorder="0" applyAlignment="0" applyProtection="0"/>
    <xf numFmtId="0" fontId="25" fillId="48" borderId="0" applyNumberFormat="0" applyBorder="0" applyAlignment="0" applyProtection="0"/>
    <xf numFmtId="0" fontId="25" fillId="57"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70" fillId="10" borderId="0" applyNumberFormat="0" applyBorder="0" applyAlignment="0" applyProtection="0"/>
    <xf numFmtId="0" fontId="1" fillId="10" borderId="0" applyNumberFormat="0" applyBorder="0" applyAlignment="0" applyProtection="0"/>
    <xf numFmtId="0" fontId="1" fillId="61" borderId="0" applyNumberFormat="0" applyBorder="0" applyAlignment="0" applyProtection="0"/>
    <xf numFmtId="0" fontId="25" fillId="56" borderId="0" applyNumberFormat="0" applyBorder="0" applyAlignment="0" applyProtection="0"/>
    <xf numFmtId="0" fontId="1" fillId="10" borderId="0" applyNumberFormat="0" applyBorder="0" applyAlignment="0" applyProtection="0"/>
    <xf numFmtId="0" fontId="25" fillId="56"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70" fillId="14" borderId="0" applyNumberFormat="0" applyBorder="0" applyAlignment="0" applyProtection="0"/>
    <xf numFmtId="0" fontId="1" fillId="14" borderId="0" applyNumberFormat="0" applyBorder="0" applyAlignment="0" applyProtection="0"/>
    <xf numFmtId="0" fontId="1" fillId="60" borderId="0" applyNumberFormat="0" applyBorder="0" applyAlignment="0" applyProtection="0"/>
    <xf numFmtId="0" fontId="25" fillId="48" borderId="0" applyNumberFormat="0" applyBorder="0" applyAlignment="0" applyProtection="0"/>
    <xf numFmtId="0" fontId="1" fillId="14" borderId="0" applyNumberFormat="0" applyBorder="0" applyAlignment="0" applyProtection="0"/>
    <xf numFmtId="0" fontId="25" fillId="48"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70" fillId="18" borderId="0" applyNumberFormat="0" applyBorder="0" applyAlignment="0" applyProtection="0"/>
    <xf numFmtId="0" fontId="1" fillId="18" borderId="0" applyNumberFormat="0" applyBorder="0" applyAlignment="0" applyProtection="0"/>
    <xf numFmtId="0" fontId="1" fillId="62" borderId="0" applyNumberFormat="0" applyBorder="0" applyAlignment="0" applyProtection="0"/>
    <xf numFmtId="0" fontId="25" fillId="57" borderId="0" applyNumberFormat="0" applyBorder="0" applyAlignment="0" applyProtection="0"/>
    <xf numFmtId="0" fontId="1" fillId="18" borderId="0" applyNumberFormat="0" applyBorder="0" applyAlignment="0" applyProtection="0"/>
    <xf numFmtId="0" fontId="25" fillId="57"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70" fillId="22" borderId="0" applyNumberFormat="0" applyBorder="0" applyAlignment="0" applyProtection="0"/>
    <xf numFmtId="0" fontId="1" fillId="22" borderId="0" applyNumberFormat="0" applyBorder="0" applyAlignment="0" applyProtection="0"/>
    <xf numFmtId="0" fontId="1" fillId="61" borderId="0" applyNumberFormat="0" applyBorder="0" applyAlignment="0" applyProtection="0"/>
    <xf numFmtId="0" fontId="25" fillId="58" borderId="0" applyNumberFormat="0" applyBorder="0" applyAlignment="0" applyProtection="0"/>
    <xf numFmtId="0" fontId="1" fillId="22"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70" fillId="26" borderId="0" applyNumberFormat="0" applyBorder="0" applyAlignment="0" applyProtection="0"/>
    <xf numFmtId="0" fontId="1" fillId="26" borderId="0" applyNumberFormat="0" applyBorder="0" applyAlignment="0" applyProtection="0"/>
    <xf numFmtId="0" fontId="25" fillId="59" borderId="0" applyNumberFormat="0" applyBorder="0" applyAlignment="0" applyProtection="0"/>
    <xf numFmtId="0" fontId="1" fillId="26"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70" fillId="30" borderId="0" applyNumberFormat="0" applyBorder="0" applyAlignment="0" applyProtection="0"/>
    <xf numFmtId="0" fontId="1" fillId="30" borderId="0" applyNumberFormat="0" applyBorder="0" applyAlignment="0" applyProtection="0"/>
    <xf numFmtId="0" fontId="25" fillId="60" borderId="0" applyNumberFormat="0" applyBorder="0" applyAlignment="0" applyProtection="0"/>
    <xf numFmtId="0" fontId="1" fillId="30" borderId="0" applyNumberFormat="0" applyBorder="0" applyAlignment="0" applyProtection="0"/>
    <xf numFmtId="0" fontId="25" fillId="60" borderId="0" applyNumberFormat="0" applyBorder="0" applyAlignment="0" applyProtection="0"/>
    <xf numFmtId="0" fontId="71" fillId="56" borderId="0" applyNumberFormat="0" applyBorder="0" applyAlignment="0" applyProtection="0"/>
    <xf numFmtId="0" fontId="71" fillId="48" borderId="0" applyNumberFormat="0" applyBorder="0" applyAlignment="0" applyProtection="0"/>
    <xf numFmtId="0" fontId="71" fillId="57" borderId="0" applyNumberFormat="0" applyBorder="0" applyAlignment="0" applyProtection="0"/>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72" fillId="56" borderId="0" applyNumberFormat="0" applyBorder="0" applyAlignment="0" applyProtection="0"/>
    <xf numFmtId="0" fontId="72" fillId="56" borderId="0" applyNumberFormat="0" applyBorder="0" applyAlignment="0" applyProtection="0"/>
    <xf numFmtId="0" fontId="25" fillId="56" borderId="0" applyNumberFormat="0" applyBorder="0" applyAlignment="0" applyProtection="0"/>
    <xf numFmtId="0" fontId="72" fillId="48" borderId="0" applyNumberFormat="0" applyBorder="0" applyAlignment="0" applyProtection="0"/>
    <xf numFmtId="0" fontId="72" fillId="48" borderId="0" applyNumberFormat="0" applyBorder="0" applyAlignment="0" applyProtection="0"/>
    <xf numFmtId="0" fontId="25" fillId="48"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25" fillId="57"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25" fillId="58" borderId="0" applyNumberFormat="0" applyBorder="0" applyAlignment="0" applyProtection="0"/>
    <xf numFmtId="0" fontId="72" fillId="59" borderId="0" applyNumberFormat="0" applyBorder="0" applyAlignment="0" applyProtection="0"/>
    <xf numFmtId="0" fontId="72" fillId="59" borderId="0" applyNumberFormat="0" applyBorder="0" applyAlignment="0" applyProtection="0"/>
    <xf numFmtId="0" fontId="25" fillId="59" borderId="0" applyNumberFormat="0" applyBorder="0" applyAlignment="0" applyProtection="0"/>
    <xf numFmtId="0" fontId="72" fillId="60" borderId="0" applyNumberFormat="0" applyBorder="0" applyAlignment="0" applyProtection="0"/>
    <xf numFmtId="0" fontId="72" fillId="60" borderId="0" applyNumberFormat="0" applyBorder="0" applyAlignment="0" applyProtection="0"/>
    <xf numFmtId="0" fontId="25" fillId="60"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9" borderId="0" applyNumberFormat="0" applyBorder="0" applyAlignment="0" applyProtection="0"/>
    <xf numFmtId="0" fontId="73" fillId="59" borderId="0" applyNumberFormat="0" applyBorder="0" applyAlignment="0" applyProtection="0"/>
    <xf numFmtId="0" fontId="73" fillId="60" borderId="0" applyNumberFormat="0" applyBorder="0" applyAlignment="0" applyProtection="0"/>
    <xf numFmtId="0" fontId="73" fillId="60"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56" borderId="0" applyNumberFormat="0" applyBorder="0" applyAlignment="0" applyProtection="0"/>
    <xf numFmtId="0" fontId="25" fillId="56" borderId="0" applyNumberFormat="0" applyBorder="0" applyAlignment="0" applyProtection="0"/>
    <xf numFmtId="0" fontId="74" fillId="56"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74" fillId="48"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74" fillId="57"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74" fillId="58"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74" fillId="59"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74" fillId="60" borderId="0" applyNumberFormat="0" applyBorder="0" applyAlignment="0" applyProtection="0"/>
    <xf numFmtId="0" fontId="25" fillId="63" borderId="0" applyNumberFormat="0" applyBorder="0" applyAlignment="0" applyProtection="0"/>
    <xf numFmtId="0" fontId="25" fillId="63" borderId="0" applyNumberFormat="0" applyBorder="0" applyAlignment="0" applyProtection="0"/>
    <xf numFmtId="0" fontId="75" fillId="63"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75" fillId="60" borderId="0" applyNumberFormat="0" applyBorder="0" applyAlignment="0" applyProtection="0"/>
    <xf numFmtId="0" fontId="25" fillId="64" borderId="0" applyNumberFormat="0" applyBorder="0" applyAlignment="0" applyProtection="0"/>
    <xf numFmtId="0" fontId="25" fillId="64" borderId="0" applyNumberFormat="0" applyBorder="0" applyAlignment="0" applyProtection="0"/>
    <xf numFmtId="0" fontId="75" fillId="64" borderId="0" applyNumberFormat="0" applyBorder="0" applyAlignment="0" applyProtection="0"/>
    <xf numFmtId="0" fontId="25" fillId="65" borderId="0" applyNumberFormat="0" applyBorder="0" applyAlignment="0" applyProtection="0"/>
    <xf numFmtId="0" fontId="25" fillId="65" borderId="0" applyNumberFormat="0" applyBorder="0" applyAlignment="0" applyProtection="0"/>
    <xf numFmtId="0" fontId="75" fillId="65" borderId="0" applyNumberFormat="0" applyBorder="0" applyAlignment="0" applyProtection="0"/>
    <xf numFmtId="0" fontId="25" fillId="63" borderId="0" applyNumberFormat="0" applyBorder="0" applyAlignment="0" applyProtection="0"/>
    <xf numFmtId="0" fontId="25" fillId="63" borderId="0" applyNumberFormat="0" applyBorder="0" applyAlignment="0" applyProtection="0"/>
    <xf numFmtId="0" fontId="75" fillId="63"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75" fillId="60" borderId="0" applyNumberFormat="0" applyBorder="0" applyAlignment="0" applyProtection="0"/>
    <xf numFmtId="0" fontId="76" fillId="0" borderId="46" applyNumberFormat="0" applyFill="0" applyAlignment="0" applyProtection="0"/>
    <xf numFmtId="0" fontId="76" fillId="0" borderId="0" applyNumberFormat="0" applyFill="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58" borderId="0" applyNumberFormat="0" applyBorder="0" applyAlignment="0" applyProtection="0"/>
    <xf numFmtId="0" fontId="25" fillId="66" borderId="0" applyNumberFormat="0" applyBorder="0" applyAlignment="0" applyProtection="0"/>
    <xf numFmtId="0" fontId="25" fillId="69"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58" borderId="0" applyNumberFormat="0" applyBorder="0" applyAlignment="0" applyProtection="0"/>
    <xf numFmtId="0" fontId="25" fillId="66" borderId="0" applyNumberFormat="0" applyBorder="0" applyAlignment="0" applyProtection="0"/>
    <xf numFmtId="0" fontId="25" fillId="69"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70" fillId="11" borderId="0" applyNumberFormat="0" applyBorder="0" applyAlignment="0" applyProtection="0"/>
    <xf numFmtId="0" fontId="1" fillId="11" borderId="0" applyNumberFormat="0" applyBorder="0" applyAlignment="0" applyProtection="0"/>
    <xf numFmtId="0" fontId="1" fillId="65" borderId="0" applyNumberFormat="0" applyBorder="0" applyAlignment="0" applyProtection="0"/>
    <xf numFmtId="0" fontId="25" fillId="66" borderId="0" applyNumberFormat="0" applyBorder="0" applyAlignment="0" applyProtection="0"/>
    <xf numFmtId="0" fontId="1" fillId="11"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70" fillId="15" borderId="0" applyNumberFormat="0" applyBorder="0" applyAlignment="0" applyProtection="0"/>
    <xf numFmtId="0" fontId="1" fillId="15" borderId="0" applyNumberFormat="0" applyBorder="0" applyAlignment="0" applyProtection="0"/>
    <xf numFmtId="0" fontId="25" fillId="67" borderId="0" applyNumberFormat="0" applyBorder="0" applyAlignment="0" applyProtection="0"/>
    <xf numFmtId="0" fontId="1" fillId="15"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70" fillId="19" borderId="0" applyNumberFormat="0" applyBorder="0" applyAlignment="0" applyProtection="0"/>
    <xf numFmtId="0" fontId="1" fillId="19" borderId="0" applyNumberFormat="0" applyBorder="0" applyAlignment="0" applyProtection="0"/>
    <xf numFmtId="0" fontId="1" fillId="70" borderId="0" applyNumberFormat="0" applyBorder="0" applyAlignment="0" applyProtection="0"/>
    <xf numFmtId="0" fontId="25" fillId="68" borderId="0" applyNumberFormat="0" applyBorder="0" applyAlignment="0" applyProtection="0"/>
    <xf numFmtId="0" fontId="1" fillId="19" borderId="0" applyNumberFormat="0" applyBorder="0" applyAlignment="0" applyProtection="0"/>
    <xf numFmtId="0" fontId="25" fillId="6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70" fillId="23" borderId="0" applyNumberFormat="0" applyBorder="0" applyAlignment="0" applyProtection="0"/>
    <xf numFmtId="0" fontId="1" fillId="23" borderId="0" applyNumberFormat="0" applyBorder="0" applyAlignment="0" applyProtection="0"/>
    <xf numFmtId="0" fontId="1" fillId="65" borderId="0" applyNumberFormat="0" applyBorder="0" applyAlignment="0" applyProtection="0"/>
    <xf numFmtId="0" fontId="25" fillId="58" borderId="0" applyNumberFormat="0" applyBorder="0" applyAlignment="0" applyProtection="0"/>
    <xf numFmtId="0" fontId="1" fillId="23" borderId="0" applyNumberFormat="0" applyBorder="0" applyAlignment="0" applyProtection="0"/>
    <xf numFmtId="0" fontId="25" fillId="58"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70" fillId="27" borderId="0" applyNumberFormat="0" applyBorder="0" applyAlignment="0" applyProtection="0"/>
    <xf numFmtId="0" fontId="1" fillId="27" borderId="0" applyNumberFormat="0" applyBorder="0" applyAlignment="0" applyProtection="0"/>
    <xf numFmtId="0" fontId="25" fillId="66" borderId="0" applyNumberFormat="0" applyBorder="0" applyAlignment="0" applyProtection="0"/>
    <xf numFmtId="0" fontId="1" fillId="27" borderId="0" applyNumberFormat="0" applyBorder="0" applyAlignment="0" applyProtection="0"/>
    <xf numFmtId="0" fontId="25" fillId="66"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70" fillId="31" borderId="0" applyNumberFormat="0" applyBorder="0" applyAlignment="0" applyProtection="0"/>
    <xf numFmtId="0" fontId="1" fillId="31" borderId="0" applyNumberFormat="0" applyBorder="0" applyAlignment="0" applyProtection="0"/>
    <xf numFmtId="0" fontId="1" fillId="60" borderId="0" applyNumberFormat="0" applyBorder="0" applyAlignment="0" applyProtection="0"/>
    <xf numFmtId="0" fontId="25" fillId="69" borderId="0" applyNumberFormat="0" applyBorder="0" applyAlignment="0" applyProtection="0"/>
    <xf numFmtId="0" fontId="1" fillId="31" borderId="0" applyNumberFormat="0" applyBorder="0" applyAlignment="0" applyProtection="0"/>
    <xf numFmtId="0" fontId="25" fillId="69" borderId="0" applyNumberFormat="0" applyBorder="0" applyAlignment="0" applyProtection="0"/>
    <xf numFmtId="0" fontId="71" fillId="66" borderId="0" applyNumberFormat="0" applyBorder="0" applyAlignment="0" applyProtection="0"/>
    <xf numFmtId="0" fontId="71" fillId="67" borderId="0" applyNumberFormat="0" applyBorder="0" applyAlignment="0" applyProtection="0"/>
    <xf numFmtId="0" fontId="71" fillId="68" borderId="0" applyNumberFormat="0" applyBorder="0" applyAlignment="0" applyProtection="0"/>
    <xf numFmtId="0" fontId="71" fillId="58" borderId="0" applyNumberFormat="0" applyBorder="0" applyAlignment="0" applyProtection="0"/>
    <xf numFmtId="0" fontId="71" fillId="66" borderId="0" applyNumberFormat="0" applyBorder="0" applyAlignment="0" applyProtection="0"/>
    <xf numFmtId="0" fontId="71" fillId="69"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72" fillId="66" borderId="0" applyNumberFormat="0" applyBorder="0" applyAlignment="0" applyProtection="0"/>
    <xf numFmtId="0" fontId="72" fillId="66" borderId="0" applyNumberFormat="0" applyBorder="0" applyAlignment="0" applyProtection="0"/>
    <xf numFmtId="0" fontId="25" fillId="66" borderId="0" applyNumberFormat="0" applyBorder="0" applyAlignment="0" applyProtection="0"/>
    <xf numFmtId="0" fontId="72" fillId="67" borderId="0" applyNumberFormat="0" applyBorder="0" applyAlignment="0" applyProtection="0"/>
    <xf numFmtId="0" fontId="72" fillId="67" borderId="0" applyNumberFormat="0" applyBorder="0" applyAlignment="0" applyProtection="0"/>
    <xf numFmtId="0" fontId="25" fillId="67" borderId="0" applyNumberFormat="0" applyBorder="0" applyAlignment="0" applyProtection="0"/>
    <xf numFmtId="0" fontId="72" fillId="68" borderId="0" applyNumberFormat="0" applyBorder="0" applyAlignment="0" applyProtection="0"/>
    <xf numFmtId="0" fontId="72" fillId="68" borderId="0" applyNumberFormat="0" applyBorder="0" applyAlignment="0" applyProtection="0"/>
    <xf numFmtId="0" fontId="25" fillId="6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25" fillId="58" borderId="0" applyNumberFormat="0" applyBorder="0" applyAlignment="0" applyProtection="0"/>
    <xf numFmtId="0" fontId="72" fillId="66" borderId="0" applyNumberFormat="0" applyBorder="0" applyAlignment="0" applyProtection="0"/>
    <xf numFmtId="0" fontId="72" fillId="66" borderId="0" applyNumberFormat="0" applyBorder="0" applyAlignment="0" applyProtection="0"/>
    <xf numFmtId="0" fontId="25" fillId="66" borderId="0" applyNumberFormat="0" applyBorder="0" applyAlignment="0" applyProtection="0"/>
    <xf numFmtId="0" fontId="72" fillId="69" borderId="0" applyNumberFormat="0" applyBorder="0" applyAlignment="0" applyProtection="0"/>
    <xf numFmtId="0" fontId="72" fillId="69" borderId="0" applyNumberFormat="0" applyBorder="0" applyAlignment="0" applyProtection="0"/>
    <xf numFmtId="0" fontId="25" fillId="69"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7" borderId="0" applyNumberFormat="0" applyBorder="0" applyAlignment="0" applyProtection="0"/>
    <xf numFmtId="0" fontId="73" fillId="67" borderId="0" applyNumberFormat="0" applyBorder="0" applyAlignment="0" applyProtection="0"/>
    <xf numFmtId="0" fontId="73" fillId="68" borderId="0" applyNumberFormat="0" applyBorder="0" applyAlignment="0" applyProtection="0"/>
    <xf numFmtId="0" fontId="73" fillId="6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66" borderId="0" applyNumberFormat="0" applyBorder="0" applyAlignment="0" applyProtection="0"/>
    <xf numFmtId="0" fontId="73" fillId="66" borderId="0" applyNumberFormat="0" applyBorder="0" applyAlignment="0" applyProtection="0"/>
    <xf numFmtId="0" fontId="73" fillId="69" borderId="0" applyNumberFormat="0" applyBorder="0" applyAlignment="0" applyProtection="0"/>
    <xf numFmtId="0" fontId="73" fillId="69"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74" fillId="66"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74" fillId="67"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74" fillId="68"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74" fillId="58"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74" fillId="66"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74" fillId="69" borderId="0" applyNumberFormat="0" applyBorder="0" applyAlignment="0" applyProtection="0"/>
    <xf numFmtId="0" fontId="25" fillId="63" borderId="0" applyNumberFormat="0" applyBorder="0" applyAlignment="0" applyProtection="0"/>
    <xf numFmtId="0" fontId="25" fillId="63" borderId="0" applyNumberFormat="0" applyBorder="0" applyAlignment="0" applyProtection="0"/>
    <xf numFmtId="0" fontId="75" fillId="63"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75" fillId="60" borderId="0" applyNumberFormat="0" applyBorder="0" applyAlignment="0" applyProtection="0"/>
    <xf numFmtId="0" fontId="25" fillId="64" borderId="0" applyNumberFormat="0" applyBorder="0" applyAlignment="0" applyProtection="0"/>
    <xf numFmtId="0" fontId="25" fillId="64" borderId="0" applyNumberFormat="0" applyBorder="0" applyAlignment="0" applyProtection="0"/>
    <xf numFmtId="0" fontId="75" fillId="64" borderId="0" applyNumberFormat="0" applyBorder="0" applyAlignment="0" applyProtection="0"/>
    <xf numFmtId="0" fontId="25" fillId="65" borderId="0" applyNumberFormat="0" applyBorder="0" applyAlignment="0" applyProtection="0"/>
    <xf numFmtId="0" fontId="25" fillId="65" borderId="0" applyNumberFormat="0" applyBorder="0" applyAlignment="0" applyProtection="0"/>
    <xf numFmtId="0" fontId="75" fillId="65"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75" fillId="68"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75" fillId="60" borderId="0" applyNumberFormat="0" applyBorder="0" applyAlignment="0" applyProtection="0"/>
    <xf numFmtId="0" fontId="77" fillId="71" borderId="0" applyNumberFormat="0" applyBorder="0" applyAlignment="0" applyProtection="0"/>
    <xf numFmtId="0" fontId="77" fillId="67" borderId="0" applyNumberFormat="0" applyBorder="0" applyAlignment="0" applyProtection="0"/>
    <xf numFmtId="0" fontId="77" fillId="68"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74" borderId="0" applyNumberFormat="0" applyBorder="0" applyAlignment="0" applyProtection="0"/>
    <xf numFmtId="0" fontId="77" fillId="71" borderId="0" applyNumberFormat="0" applyBorder="0" applyAlignment="0" applyProtection="0"/>
    <xf numFmtId="0" fontId="77" fillId="67" borderId="0" applyNumberFormat="0" applyBorder="0" applyAlignment="0" applyProtection="0"/>
    <xf numFmtId="0" fontId="77" fillId="68"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74" borderId="0" applyNumberFormat="0" applyBorder="0" applyAlignment="0" applyProtection="0"/>
    <xf numFmtId="0" fontId="77" fillId="71" borderId="0" applyNumberFormat="0" applyBorder="0" applyAlignment="0" applyProtection="0"/>
    <xf numFmtId="0" fontId="77" fillId="67" borderId="0" applyNumberFormat="0" applyBorder="0" applyAlignment="0" applyProtection="0"/>
    <xf numFmtId="0" fontId="77" fillId="68"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74" borderId="0" applyNumberFormat="0" applyBorder="0" applyAlignment="0" applyProtection="0"/>
    <xf numFmtId="0" fontId="77" fillId="71" borderId="0" applyNumberFormat="0" applyBorder="0" applyAlignment="0" applyProtection="0"/>
    <xf numFmtId="0" fontId="77" fillId="67" borderId="0" applyNumberFormat="0" applyBorder="0" applyAlignment="0" applyProtection="0"/>
    <xf numFmtId="0" fontId="77" fillId="68"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74" borderId="0" applyNumberFormat="0" applyBorder="0" applyAlignment="0" applyProtection="0"/>
    <xf numFmtId="0" fontId="77" fillId="71" borderId="0" applyNumberFormat="0" applyBorder="0" applyAlignment="0" applyProtection="0"/>
    <xf numFmtId="0" fontId="77" fillId="71" borderId="0" applyNumberFormat="0" applyBorder="0" applyAlignment="0" applyProtection="0"/>
    <xf numFmtId="0" fontId="77" fillId="71" borderId="0" applyNumberFormat="0" applyBorder="0" applyAlignment="0" applyProtection="0"/>
    <xf numFmtId="0" fontId="78" fillId="12" borderId="0" applyNumberFormat="0" applyBorder="0" applyAlignment="0" applyProtection="0"/>
    <xf numFmtId="0" fontId="17" fillId="12" borderId="0" applyNumberFormat="0" applyBorder="0" applyAlignment="0" applyProtection="0"/>
    <xf numFmtId="0" fontId="17" fillId="73" borderId="0" applyNumberFormat="0" applyBorder="0" applyAlignment="0" applyProtection="0"/>
    <xf numFmtId="0" fontId="77" fillId="71"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8" fillId="16" borderId="0" applyNumberFormat="0" applyBorder="0" applyAlignment="0" applyProtection="0"/>
    <xf numFmtId="0" fontId="17" fillId="16" borderId="0" applyNumberFormat="0" applyBorder="0" applyAlignment="0" applyProtection="0"/>
    <xf numFmtId="0" fontId="77" fillId="67" borderId="0" applyNumberFormat="0" applyBorder="0" applyAlignment="0" applyProtection="0"/>
    <xf numFmtId="0" fontId="77" fillId="68" borderId="0" applyNumberFormat="0" applyBorder="0" applyAlignment="0" applyProtection="0"/>
    <xf numFmtId="0" fontId="77" fillId="68" borderId="0" applyNumberFormat="0" applyBorder="0" applyAlignment="0" applyProtection="0"/>
    <xf numFmtId="0" fontId="77" fillId="68" borderId="0" applyNumberFormat="0" applyBorder="0" applyAlignment="0" applyProtection="0"/>
    <xf numFmtId="0" fontId="78" fillId="20" borderId="0" applyNumberFormat="0" applyBorder="0" applyAlignment="0" applyProtection="0"/>
    <xf numFmtId="0" fontId="17" fillId="20" borderId="0" applyNumberFormat="0" applyBorder="0" applyAlignment="0" applyProtection="0"/>
    <xf numFmtId="0" fontId="17" fillId="70" borderId="0" applyNumberFormat="0" applyBorder="0" applyAlignment="0" applyProtection="0"/>
    <xf numFmtId="0" fontId="77" fillId="68" borderId="0" applyNumberFormat="0" applyBorder="0" applyAlignment="0" applyProtection="0"/>
    <xf numFmtId="0" fontId="77" fillId="72" borderId="0" applyNumberFormat="0" applyBorder="0" applyAlignment="0" applyProtection="0"/>
    <xf numFmtId="0" fontId="77" fillId="72" borderId="0" applyNumberFormat="0" applyBorder="0" applyAlignment="0" applyProtection="0"/>
    <xf numFmtId="0" fontId="77" fillId="72" borderId="0" applyNumberFormat="0" applyBorder="0" applyAlignment="0" applyProtection="0"/>
    <xf numFmtId="0" fontId="78" fillId="24" borderId="0" applyNumberFormat="0" applyBorder="0" applyAlignment="0" applyProtection="0"/>
    <xf numFmtId="0" fontId="17" fillId="24" borderId="0" applyNumberFormat="0" applyBorder="0" applyAlignment="0" applyProtection="0"/>
    <xf numFmtId="0" fontId="17" fillId="65"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73" borderId="0" applyNumberFormat="0" applyBorder="0" applyAlignment="0" applyProtection="0"/>
    <xf numFmtId="0" fontId="77" fillId="73" borderId="0" applyNumberFormat="0" applyBorder="0" applyAlignment="0" applyProtection="0"/>
    <xf numFmtId="0" fontId="78" fillId="28" borderId="0" applyNumberFormat="0" applyBorder="0" applyAlignment="0" applyProtection="0"/>
    <xf numFmtId="0" fontId="17" fillId="28" borderId="0" applyNumberFormat="0" applyBorder="0" applyAlignment="0" applyProtection="0"/>
    <xf numFmtId="0" fontId="77" fillId="73" borderId="0" applyNumberFormat="0" applyBorder="0" applyAlignment="0" applyProtection="0"/>
    <xf numFmtId="0" fontId="77" fillId="74" borderId="0" applyNumberFormat="0" applyBorder="0" applyAlignment="0" applyProtection="0"/>
    <xf numFmtId="0" fontId="77" fillId="74" borderId="0" applyNumberFormat="0" applyBorder="0" applyAlignment="0" applyProtection="0"/>
    <xf numFmtId="0" fontId="77" fillId="74" borderId="0" applyNumberFormat="0" applyBorder="0" applyAlignment="0" applyProtection="0"/>
    <xf numFmtId="0" fontId="78" fillId="32" borderId="0" applyNumberFormat="0" applyBorder="0" applyAlignment="0" applyProtection="0"/>
    <xf numFmtId="0" fontId="17" fillId="32" borderId="0" applyNumberFormat="0" applyBorder="0" applyAlignment="0" applyProtection="0"/>
    <xf numFmtId="0" fontId="17" fillId="60" borderId="0" applyNumberFormat="0" applyBorder="0" applyAlignment="0" applyProtection="0"/>
    <xf numFmtId="0" fontId="77" fillId="74" borderId="0" applyNumberFormat="0" applyBorder="0" applyAlignment="0" applyProtection="0"/>
    <xf numFmtId="0" fontId="79" fillId="71" borderId="0" applyNumberFormat="0" applyBorder="0" applyAlignment="0" applyProtection="0"/>
    <xf numFmtId="0" fontId="79" fillId="67" borderId="0" applyNumberFormat="0" applyBorder="0" applyAlignment="0" applyProtection="0"/>
    <xf numFmtId="0" fontId="79" fillId="68" borderId="0" applyNumberFormat="0" applyBorder="0" applyAlignment="0" applyProtection="0"/>
    <xf numFmtId="0" fontId="79" fillId="72" borderId="0" applyNumberFormat="0" applyBorder="0" applyAlignment="0" applyProtection="0"/>
    <xf numFmtId="0" fontId="79" fillId="73" borderId="0" applyNumberFormat="0" applyBorder="0" applyAlignment="0" applyProtection="0"/>
    <xf numFmtId="0" fontId="79" fillId="74" borderId="0" applyNumberFormat="0" applyBorder="0" applyAlignment="0" applyProtection="0"/>
    <xf numFmtId="0" fontId="77" fillId="71" borderId="0" applyNumberFormat="0" applyBorder="0" applyAlignment="0" applyProtection="0"/>
    <xf numFmtId="0" fontId="77" fillId="71" borderId="0" applyNumberFormat="0" applyBorder="0" applyAlignment="0" applyProtection="0"/>
    <xf numFmtId="0" fontId="77" fillId="71" borderId="0" applyNumberFormat="0" applyBorder="0" applyAlignment="0" applyProtection="0"/>
    <xf numFmtId="0" fontId="17" fillId="12" borderId="0" applyNumberFormat="0" applyBorder="0" applyAlignment="0" applyProtection="0"/>
    <xf numFmtId="0" fontId="77" fillId="71"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8" borderId="0" applyNumberFormat="0" applyBorder="0" applyAlignment="0" applyProtection="0"/>
    <xf numFmtId="0" fontId="77" fillId="68" borderId="0" applyNumberFormat="0" applyBorder="0" applyAlignment="0" applyProtection="0"/>
    <xf numFmtId="0" fontId="77" fillId="72"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73" borderId="0" applyNumberFormat="0" applyBorder="0" applyAlignment="0" applyProtection="0"/>
    <xf numFmtId="0" fontId="77" fillId="74" borderId="0" applyNumberFormat="0" applyBorder="0" applyAlignment="0" applyProtection="0"/>
    <xf numFmtId="0" fontId="77" fillId="74" borderId="0" applyNumberFormat="0" applyBorder="0" applyAlignment="0" applyProtection="0"/>
    <xf numFmtId="0" fontId="77" fillId="71" borderId="0" applyNumberFormat="0" applyBorder="0" applyAlignment="0" applyProtection="0"/>
    <xf numFmtId="0" fontId="77" fillId="71"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8" borderId="0" applyNumberFormat="0" applyBorder="0" applyAlignment="0" applyProtection="0"/>
    <xf numFmtId="0" fontId="77" fillId="68" borderId="0" applyNumberFormat="0" applyBorder="0" applyAlignment="0" applyProtection="0"/>
    <xf numFmtId="0" fontId="77" fillId="72"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73" borderId="0" applyNumberFormat="0" applyBorder="0" applyAlignment="0" applyProtection="0"/>
    <xf numFmtId="0" fontId="77" fillId="74" borderId="0" applyNumberFormat="0" applyBorder="0" applyAlignment="0" applyProtection="0"/>
    <xf numFmtId="0" fontId="77" fillId="74" borderId="0" applyNumberFormat="0" applyBorder="0" applyAlignment="0" applyProtection="0"/>
    <xf numFmtId="0" fontId="80" fillId="71" borderId="0" applyNumberFormat="0" applyBorder="0" applyAlignment="0" applyProtection="0"/>
    <xf numFmtId="0" fontId="80" fillId="71" borderId="0" applyNumberFormat="0" applyBorder="0" applyAlignment="0" applyProtection="0"/>
    <xf numFmtId="0" fontId="77" fillId="71" borderId="0" applyNumberFormat="0" applyBorder="0" applyAlignment="0" applyProtection="0"/>
    <xf numFmtId="0" fontId="80" fillId="67" borderId="0" applyNumberFormat="0" applyBorder="0" applyAlignment="0" applyProtection="0"/>
    <xf numFmtId="0" fontId="80" fillId="67" borderId="0" applyNumberFormat="0" applyBorder="0" applyAlignment="0" applyProtection="0"/>
    <xf numFmtId="0" fontId="77" fillId="67" borderId="0" applyNumberFormat="0" applyBorder="0" applyAlignment="0" applyProtection="0"/>
    <xf numFmtId="0" fontId="80" fillId="68" borderId="0" applyNumberFormat="0" applyBorder="0" applyAlignment="0" applyProtection="0"/>
    <xf numFmtId="0" fontId="80" fillId="68" borderId="0" applyNumberFormat="0" applyBorder="0" applyAlignment="0" applyProtection="0"/>
    <xf numFmtId="0" fontId="77" fillId="68" borderId="0" applyNumberFormat="0" applyBorder="0" applyAlignment="0" applyProtection="0"/>
    <xf numFmtId="0" fontId="80" fillId="72" borderId="0" applyNumberFormat="0" applyBorder="0" applyAlignment="0" applyProtection="0"/>
    <xf numFmtId="0" fontId="80" fillId="72" borderId="0" applyNumberFormat="0" applyBorder="0" applyAlignment="0" applyProtection="0"/>
    <xf numFmtId="0" fontId="77" fillId="72" borderId="0" applyNumberFormat="0" applyBorder="0" applyAlignment="0" applyProtection="0"/>
    <xf numFmtId="0" fontId="80" fillId="73" borderId="0" applyNumberFormat="0" applyBorder="0" applyAlignment="0" applyProtection="0"/>
    <xf numFmtId="0" fontId="80" fillId="73" borderId="0" applyNumberFormat="0" applyBorder="0" applyAlignment="0" applyProtection="0"/>
    <xf numFmtId="0" fontId="77" fillId="73" borderId="0" applyNumberFormat="0" applyBorder="0" applyAlignment="0" applyProtection="0"/>
    <xf numFmtId="0" fontId="80" fillId="74" borderId="0" applyNumberFormat="0" applyBorder="0" applyAlignment="0" applyProtection="0"/>
    <xf numFmtId="0" fontId="80" fillId="74" borderId="0" applyNumberFormat="0" applyBorder="0" applyAlignment="0" applyProtection="0"/>
    <xf numFmtId="0" fontId="77" fillId="74" borderId="0" applyNumberFormat="0" applyBorder="0" applyAlignment="0" applyProtection="0"/>
    <xf numFmtId="0" fontId="81" fillId="71" borderId="0" applyNumberFormat="0" applyBorder="0" applyAlignment="0" applyProtection="0"/>
    <xf numFmtId="0" fontId="81" fillId="71" borderId="0" applyNumberFormat="0" applyBorder="0" applyAlignment="0" applyProtection="0"/>
    <xf numFmtId="0" fontId="81" fillId="67" borderId="0" applyNumberFormat="0" applyBorder="0" applyAlignment="0" applyProtection="0"/>
    <xf numFmtId="0" fontId="81" fillId="67" borderId="0" applyNumberFormat="0" applyBorder="0" applyAlignment="0" applyProtection="0"/>
    <xf numFmtId="0" fontId="81" fillId="68" borderId="0" applyNumberFormat="0" applyBorder="0" applyAlignment="0" applyProtection="0"/>
    <xf numFmtId="0" fontId="81" fillId="68" borderId="0" applyNumberFormat="0" applyBorder="0" applyAlignment="0" applyProtection="0"/>
    <xf numFmtId="0" fontId="81" fillId="72" borderId="0" applyNumberFormat="0" applyBorder="0" applyAlignment="0" applyProtection="0"/>
    <xf numFmtId="0" fontId="81" fillId="72" borderId="0" applyNumberFormat="0" applyBorder="0" applyAlignment="0" applyProtection="0"/>
    <xf numFmtId="0" fontId="81" fillId="73" borderId="0" applyNumberFormat="0" applyBorder="0" applyAlignment="0" applyProtection="0"/>
    <xf numFmtId="0" fontId="81" fillId="73"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0" fontId="77" fillId="71" borderId="0" applyNumberFormat="0" applyBorder="0" applyAlignment="0" applyProtection="0"/>
    <xf numFmtId="0" fontId="77" fillId="67" borderId="0" applyNumberFormat="0" applyBorder="0" applyAlignment="0" applyProtection="0"/>
    <xf numFmtId="0" fontId="77" fillId="68"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74" borderId="0" applyNumberFormat="0" applyBorder="0" applyAlignment="0" applyProtection="0"/>
    <xf numFmtId="0" fontId="77" fillId="71" borderId="0" applyNumberFormat="0" applyBorder="0" applyAlignment="0" applyProtection="0"/>
    <xf numFmtId="0" fontId="77" fillId="67" borderId="0" applyNumberFormat="0" applyBorder="0" applyAlignment="0" applyProtection="0"/>
    <xf numFmtId="0" fontId="77" fillId="68"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74" borderId="0" applyNumberFormat="0" applyBorder="0" applyAlignment="0" applyProtection="0"/>
    <xf numFmtId="0" fontId="77" fillId="71" borderId="0" applyNumberFormat="0" applyBorder="0" applyAlignment="0" applyProtection="0"/>
    <xf numFmtId="0" fontId="77" fillId="67" borderId="0" applyNumberFormat="0" applyBorder="0" applyAlignment="0" applyProtection="0"/>
    <xf numFmtId="0" fontId="77" fillId="68"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74" borderId="0" applyNumberFormat="0" applyBorder="0" applyAlignment="0" applyProtection="0"/>
    <xf numFmtId="0" fontId="77" fillId="71" borderId="0" applyNumberFormat="0" applyBorder="0" applyAlignment="0" applyProtection="0"/>
    <xf numFmtId="0" fontId="77" fillId="71" borderId="0" applyNumberFormat="0" applyBorder="0" applyAlignment="0" applyProtection="0"/>
    <xf numFmtId="0" fontId="82" fillId="71"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82" fillId="67" borderId="0" applyNumberFormat="0" applyBorder="0" applyAlignment="0" applyProtection="0"/>
    <xf numFmtId="0" fontId="77" fillId="68" borderId="0" applyNumberFormat="0" applyBorder="0" applyAlignment="0" applyProtection="0"/>
    <xf numFmtId="0" fontId="77" fillId="68" borderId="0" applyNumberFormat="0" applyBorder="0" applyAlignment="0" applyProtection="0"/>
    <xf numFmtId="0" fontId="82" fillId="68" borderId="0" applyNumberFormat="0" applyBorder="0" applyAlignment="0" applyProtection="0"/>
    <xf numFmtId="0" fontId="77" fillId="72" borderId="0" applyNumberFormat="0" applyBorder="0" applyAlignment="0" applyProtection="0"/>
    <xf numFmtId="0" fontId="77" fillId="72" borderId="0" applyNumberFormat="0" applyBorder="0" applyAlignment="0" applyProtection="0"/>
    <xf numFmtId="0" fontId="82" fillId="72" borderId="0" applyNumberFormat="0" applyBorder="0" applyAlignment="0" applyProtection="0"/>
    <xf numFmtId="0" fontId="77" fillId="73" borderId="0" applyNumberFormat="0" applyBorder="0" applyAlignment="0" applyProtection="0"/>
    <xf numFmtId="0" fontId="77" fillId="73" borderId="0" applyNumberFormat="0" applyBorder="0" applyAlignment="0" applyProtection="0"/>
    <xf numFmtId="0" fontId="82" fillId="73" borderId="0" applyNumberFormat="0" applyBorder="0" applyAlignment="0" applyProtection="0"/>
    <xf numFmtId="0" fontId="77" fillId="74" borderId="0" applyNumberFormat="0" applyBorder="0" applyAlignment="0" applyProtection="0"/>
    <xf numFmtId="0" fontId="77" fillId="74" borderId="0" applyNumberFormat="0" applyBorder="0" applyAlignment="0" applyProtection="0"/>
    <xf numFmtId="0" fontId="82" fillId="74" borderId="0" applyNumberFormat="0" applyBorder="0" applyAlignment="0" applyProtection="0"/>
    <xf numFmtId="0" fontId="77" fillId="68" borderId="0" applyNumberFormat="0" applyBorder="0" applyAlignment="0" applyProtection="0"/>
    <xf numFmtId="0" fontId="77" fillId="68" borderId="0" applyNumberFormat="0" applyBorder="0" applyAlignment="0" applyProtection="0"/>
    <xf numFmtId="0" fontId="83" fillId="68" borderId="0" applyNumberFormat="0" applyBorder="0" applyAlignment="0" applyProtection="0"/>
    <xf numFmtId="0" fontId="77" fillId="60" borderId="0" applyNumberFormat="0" applyBorder="0" applyAlignment="0" applyProtection="0"/>
    <xf numFmtId="0" fontId="77" fillId="60" borderId="0" applyNumberFormat="0" applyBorder="0" applyAlignment="0" applyProtection="0"/>
    <xf numFmtId="0" fontId="83" fillId="60" borderId="0" applyNumberFormat="0" applyBorder="0" applyAlignment="0" applyProtection="0"/>
    <xf numFmtId="0" fontId="77" fillId="64" borderId="0" applyNumberFormat="0" applyBorder="0" applyAlignment="0" applyProtection="0"/>
    <xf numFmtId="0" fontId="77" fillId="64" borderId="0" applyNumberFormat="0" applyBorder="0" applyAlignment="0" applyProtection="0"/>
    <xf numFmtId="0" fontId="83" fillId="64" borderId="0" applyNumberFormat="0" applyBorder="0" applyAlignment="0" applyProtection="0"/>
    <xf numFmtId="0" fontId="77" fillId="75" borderId="0" applyNumberFormat="0" applyBorder="0" applyAlignment="0" applyProtection="0"/>
    <xf numFmtId="0" fontId="77" fillId="75" borderId="0" applyNumberFormat="0" applyBorder="0" applyAlignment="0" applyProtection="0"/>
    <xf numFmtId="0" fontId="83" fillId="75" borderId="0" applyNumberFormat="0" applyBorder="0" applyAlignment="0" applyProtection="0"/>
    <xf numFmtId="0" fontId="77" fillId="68" borderId="0" applyNumberFormat="0" applyBorder="0" applyAlignment="0" applyProtection="0"/>
    <xf numFmtId="0" fontId="77" fillId="68" borderId="0" applyNumberFormat="0" applyBorder="0" applyAlignment="0" applyProtection="0"/>
    <xf numFmtId="0" fontId="83" fillId="68" borderId="0" applyNumberFormat="0" applyBorder="0" applyAlignment="0" applyProtection="0"/>
    <xf numFmtId="0" fontId="77" fillId="76" borderId="0" applyNumberFormat="0" applyBorder="0" applyAlignment="0" applyProtection="0"/>
    <xf numFmtId="0" fontId="77" fillId="76" borderId="0" applyNumberFormat="0" applyBorder="0" applyAlignment="0" applyProtection="0"/>
    <xf numFmtId="0" fontId="83" fillId="76" borderId="0" applyNumberFormat="0" applyBorder="0" applyAlignment="0" applyProtection="0"/>
    <xf numFmtId="0" fontId="28" fillId="77" borderId="0" applyNumberFormat="0" applyBorder="0" applyAlignment="0" applyProtection="0"/>
    <xf numFmtId="0" fontId="28" fillId="77" borderId="0" applyNumberFormat="0" applyBorder="0" applyAlignment="0" applyProtection="0"/>
    <xf numFmtId="0" fontId="28" fillId="0" borderId="0"/>
    <xf numFmtId="0" fontId="28" fillId="0" borderId="0"/>
    <xf numFmtId="0" fontId="28" fillId="0" borderId="0"/>
    <xf numFmtId="0" fontId="25" fillId="78" borderId="0" applyNumberFormat="0" applyBorder="0" applyAlignment="0" applyProtection="0"/>
    <xf numFmtId="0" fontId="25" fillId="78" borderId="0" applyNumberFormat="0" applyBorder="0" applyAlignment="0" applyProtection="0"/>
    <xf numFmtId="0" fontId="77" fillId="79" borderId="0" applyNumberFormat="0" applyBorder="0" applyAlignment="0" applyProtection="0"/>
    <xf numFmtId="0" fontId="17" fillId="73" borderId="0" applyNumberFormat="0" applyBorder="0" applyAlignment="0" applyProtection="0"/>
    <xf numFmtId="0" fontId="77" fillId="80" borderId="0" applyNumberFormat="0" applyBorder="0" applyAlignment="0" applyProtection="0"/>
    <xf numFmtId="0" fontId="77" fillId="80" borderId="0" applyNumberFormat="0" applyBorder="0" applyAlignment="0" applyProtection="0"/>
    <xf numFmtId="0" fontId="17" fillId="9" borderId="0" applyNumberFormat="0" applyBorder="0" applyAlignment="0" applyProtection="0"/>
    <xf numFmtId="0" fontId="17" fillId="73" borderId="0" applyNumberFormat="0" applyBorder="0" applyAlignment="0" applyProtection="0"/>
    <xf numFmtId="0" fontId="78" fillId="9" borderId="0" applyNumberFormat="0" applyBorder="0" applyAlignment="0" applyProtection="0"/>
    <xf numFmtId="0" fontId="78" fillId="9" borderId="0" applyNumberFormat="0" applyBorder="0" applyAlignment="0" applyProtection="0"/>
    <xf numFmtId="0" fontId="17" fillId="73" borderId="0" applyNumberFormat="0" applyBorder="0" applyAlignment="0" applyProtection="0"/>
    <xf numFmtId="0" fontId="77" fillId="80" borderId="0" applyNumberFormat="0" applyBorder="0" applyAlignment="0" applyProtection="0"/>
    <xf numFmtId="0" fontId="77" fillId="80" borderId="0" applyNumberFormat="0" applyBorder="0" applyAlignment="0" applyProtection="0"/>
    <xf numFmtId="0" fontId="77" fillId="80" borderId="0" applyNumberFormat="0" applyBorder="0" applyAlignment="0" applyProtection="0"/>
    <xf numFmtId="0" fontId="17" fillId="9" borderId="0" applyNumberFormat="0" applyBorder="0" applyAlignment="0" applyProtection="0"/>
    <xf numFmtId="0" fontId="77" fillId="80" borderId="0" applyNumberFormat="0" applyBorder="0" applyAlignment="0" applyProtection="0"/>
    <xf numFmtId="0" fontId="25" fillId="81" borderId="0" applyNumberFormat="0" applyBorder="0" applyAlignment="0" applyProtection="0"/>
    <xf numFmtId="0" fontId="25" fillId="82" borderId="0" applyNumberFormat="0" applyBorder="0" applyAlignment="0" applyProtection="0"/>
    <xf numFmtId="0" fontId="77" fillId="83" borderId="0" applyNumberFormat="0" applyBorder="0" applyAlignment="0" applyProtection="0"/>
    <xf numFmtId="0" fontId="17" fillId="64" borderId="0" applyNumberFormat="0" applyBorder="0" applyAlignment="0" applyProtection="0"/>
    <xf numFmtId="0" fontId="77" fillId="84" borderId="0" applyNumberFormat="0" applyBorder="0" applyAlignment="0" applyProtection="0"/>
    <xf numFmtId="0" fontId="77" fillId="84" borderId="0" applyNumberFormat="0" applyBorder="0" applyAlignment="0" applyProtection="0"/>
    <xf numFmtId="0" fontId="78" fillId="13" borderId="0" applyNumberFormat="0" applyBorder="0" applyAlignment="0" applyProtection="0"/>
    <xf numFmtId="0" fontId="78" fillId="13" borderId="0" applyNumberFormat="0" applyBorder="0" applyAlignment="0" applyProtection="0"/>
    <xf numFmtId="0" fontId="17" fillId="13" borderId="0" applyNumberFormat="0" applyBorder="0" applyAlignment="0" applyProtection="0"/>
    <xf numFmtId="0" fontId="77" fillId="84" borderId="0" applyNumberFormat="0" applyBorder="0" applyAlignment="0" applyProtection="0"/>
    <xf numFmtId="0" fontId="77" fillId="84" borderId="0" applyNumberFormat="0" applyBorder="0" applyAlignment="0" applyProtection="0"/>
    <xf numFmtId="0" fontId="77" fillId="84" borderId="0" applyNumberFormat="0" applyBorder="0" applyAlignment="0" applyProtection="0"/>
    <xf numFmtId="0" fontId="17" fillId="13" borderId="0" applyNumberFormat="0" applyBorder="0" applyAlignment="0" applyProtection="0"/>
    <xf numFmtId="0" fontId="77" fillId="84" borderId="0" applyNumberFormat="0" applyBorder="0" applyAlignment="0" applyProtection="0"/>
    <xf numFmtId="0" fontId="25" fillId="81" borderId="0" applyNumberFormat="0" applyBorder="0" applyAlignment="0" applyProtection="0"/>
    <xf numFmtId="0" fontId="25" fillId="85" borderId="0" applyNumberFormat="0" applyBorder="0" applyAlignment="0" applyProtection="0"/>
    <xf numFmtId="0" fontId="77" fillId="82" borderId="0" applyNumberFormat="0" applyBorder="0" applyAlignment="0" applyProtection="0"/>
    <xf numFmtId="0" fontId="17" fillId="64" borderId="0" applyNumberFormat="0" applyBorder="0" applyAlignment="0" applyProtection="0"/>
    <xf numFmtId="0" fontId="77" fillId="86" borderId="0" applyNumberFormat="0" applyBorder="0" applyAlignment="0" applyProtection="0"/>
    <xf numFmtId="0" fontId="77" fillId="86" borderId="0" applyNumberFormat="0" applyBorder="0" applyAlignment="0" applyProtection="0"/>
    <xf numFmtId="0" fontId="78" fillId="17" borderId="0" applyNumberFormat="0" applyBorder="0" applyAlignment="0" applyProtection="0"/>
    <xf numFmtId="0" fontId="78" fillId="17" borderId="0" applyNumberFormat="0" applyBorder="0" applyAlignment="0" applyProtection="0"/>
    <xf numFmtId="0" fontId="77" fillId="8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77" fillId="86" borderId="0" applyNumberFormat="0" applyBorder="0" applyAlignment="0" applyProtection="0"/>
    <xf numFmtId="0" fontId="77" fillId="86" borderId="0" applyNumberFormat="0" applyBorder="0" applyAlignment="0" applyProtection="0"/>
    <xf numFmtId="0" fontId="25" fillId="78" borderId="0" applyNumberFormat="0" applyBorder="0" applyAlignment="0" applyProtection="0"/>
    <xf numFmtId="0" fontId="25" fillId="82" borderId="0" applyNumberFormat="0" applyBorder="0" applyAlignment="0" applyProtection="0"/>
    <xf numFmtId="0" fontId="77" fillId="82" borderId="0" applyNumberFormat="0" applyBorder="0" applyAlignment="0" applyProtection="0"/>
    <xf numFmtId="0" fontId="17" fillId="87" borderId="0" applyNumberFormat="0" applyBorder="0" applyAlignment="0" applyProtection="0"/>
    <xf numFmtId="0" fontId="77" fillId="72" borderId="0" applyNumberFormat="0" applyBorder="0" applyAlignment="0" applyProtection="0"/>
    <xf numFmtId="0" fontId="77" fillId="72" borderId="0" applyNumberFormat="0" applyBorder="0" applyAlignment="0" applyProtection="0"/>
    <xf numFmtId="0" fontId="78" fillId="21" borderId="0" applyNumberFormat="0" applyBorder="0" applyAlignment="0" applyProtection="0"/>
    <xf numFmtId="0" fontId="78" fillId="21" borderId="0" applyNumberFormat="0" applyBorder="0" applyAlignment="0" applyProtection="0"/>
    <xf numFmtId="0" fontId="77" fillId="72"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77" fillId="72" borderId="0" applyNumberFormat="0" applyBorder="0" applyAlignment="0" applyProtection="0"/>
    <xf numFmtId="0" fontId="77" fillId="72" borderId="0" applyNumberFormat="0" applyBorder="0" applyAlignment="0" applyProtection="0"/>
    <xf numFmtId="0" fontId="25" fillId="77" borderId="0" applyNumberFormat="0" applyBorder="0" applyAlignment="0" applyProtection="0"/>
    <xf numFmtId="0" fontId="25" fillId="78" borderId="0" applyNumberFormat="0" applyBorder="0" applyAlignment="0" applyProtection="0"/>
    <xf numFmtId="0" fontId="77" fillId="79" borderId="0" applyNumberFormat="0" applyBorder="0" applyAlignment="0" applyProtection="0"/>
    <xf numFmtId="0" fontId="77" fillId="73" borderId="0" applyNumberFormat="0" applyBorder="0" applyAlignment="0" applyProtection="0"/>
    <xf numFmtId="0" fontId="84" fillId="73" borderId="0" applyNumberFormat="0" applyBorder="0" applyAlignment="0" applyProtection="0"/>
    <xf numFmtId="0" fontId="78" fillId="25" borderId="0" applyNumberFormat="0" applyBorder="0" applyAlignment="0" applyProtection="0"/>
    <xf numFmtId="0" fontId="78" fillId="25" borderId="0" applyNumberFormat="0" applyBorder="0" applyAlignment="0" applyProtection="0"/>
    <xf numFmtId="0" fontId="17" fillId="25" borderId="0" applyNumberFormat="0" applyBorder="0" applyAlignment="0" applyProtection="0"/>
    <xf numFmtId="0" fontId="77" fillId="73" borderId="0" applyNumberFormat="0" applyBorder="0" applyAlignment="0" applyProtection="0"/>
    <xf numFmtId="0" fontId="77" fillId="73" borderId="0" applyNumberFormat="0" applyBorder="0" applyAlignment="0" applyProtection="0"/>
    <xf numFmtId="0" fontId="77" fillId="73" borderId="0" applyNumberFormat="0" applyBorder="0" applyAlignment="0" applyProtection="0"/>
    <xf numFmtId="0" fontId="17" fillId="25" borderId="0" applyNumberFormat="0" applyBorder="0" applyAlignment="0" applyProtection="0"/>
    <xf numFmtId="0" fontId="77" fillId="73" borderId="0" applyNumberFormat="0" applyBorder="0" applyAlignment="0" applyProtection="0"/>
    <xf numFmtId="0" fontId="25" fillId="81" borderId="0" applyNumberFormat="0" applyBorder="0" applyAlignment="0" applyProtection="0"/>
    <xf numFmtId="0" fontId="25" fillId="88" borderId="0" applyNumberFormat="0" applyBorder="0" applyAlignment="0" applyProtection="0"/>
    <xf numFmtId="0" fontId="77" fillId="88" borderId="0" applyNumberFormat="0" applyBorder="0" applyAlignment="0" applyProtection="0"/>
    <xf numFmtId="0" fontId="77" fillId="89" borderId="0" applyNumberFormat="0" applyBorder="0" applyAlignment="0" applyProtection="0"/>
    <xf numFmtId="0" fontId="84" fillId="89" borderId="0" applyNumberFormat="0" applyBorder="0" applyAlignment="0" applyProtection="0"/>
    <xf numFmtId="0" fontId="78" fillId="29" borderId="0" applyNumberFormat="0" applyBorder="0" applyAlignment="0" applyProtection="0"/>
    <xf numFmtId="0" fontId="78" fillId="29" borderId="0" applyNumberFormat="0" applyBorder="0" applyAlignment="0" applyProtection="0"/>
    <xf numFmtId="0" fontId="17" fillId="29" borderId="0" applyNumberFormat="0" applyBorder="0" applyAlignment="0" applyProtection="0"/>
    <xf numFmtId="0" fontId="77" fillId="89" borderId="0" applyNumberFormat="0" applyBorder="0" applyAlignment="0" applyProtection="0"/>
    <xf numFmtId="0" fontId="77" fillId="89" borderId="0" applyNumberFormat="0" applyBorder="0" applyAlignment="0" applyProtection="0"/>
    <xf numFmtId="0" fontId="77" fillId="89" borderId="0" applyNumberFormat="0" applyBorder="0" applyAlignment="0" applyProtection="0"/>
    <xf numFmtId="0" fontId="17" fillId="29" borderId="0" applyNumberFormat="0" applyBorder="0" applyAlignment="0" applyProtection="0"/>
    <xf numFmtId="0" fontId="77" fillId="89" borderId="0" applyNumberFormat="0" applyBorder="0" applyAlignment="0" applyProtection="0"/>
    <xf numFmtId="0" fontId="85" fillId="90" borderId="14" applyNumberFormat="0">
      <alignment horizontal="center"/>
    </xf>
    <xf numFmtId="0" fontId="86" fillId="0" borderId="0" applyNumberFormat="0" applyFill="0" applyBorder="0" applyAlignment="0" applyProtection="0"/>
    <xf numFmtId="0" fontId="87" fillId="0" borderId="0" applyNumberFormat="0" applyFill="0" applyBorder="0" applyAlignment="0" applyProtection="0"/>
    <xf numFmtId="0" fontId="77" fillId="80" borderId="0" applyNumberFormat="0" applyBorder="0" applyAlignment="0" applyProtection="0"/>
    <xf numFmtId="0" fontId="77" fillId="80" borderId="0" applyNumberFormat="0" applyBorder="0" applyAlignment="0" applyProtection="0"/>
    <xf numFmtId="0" fontId="77" fillId="84" borderId="0" applyNumberFormat="0" applyBorder="0" applyAlignment="0" applyProtection="0"/>
    <xf numFmtId="0" fontId="77" fillId="84" borderId="0" applyNumberFormat="0" applyBorder="0" applyAlignment="0" applyProtection="0"/>
    <xf numFmtId="0" fontId="77" fillId="86" borderId="0" applyNumberFormat="0" applyBorder="0" applyAlignment="0" applyProtection="0"/>
    <xf numFmtId="0" fontId="77" fillId="86" borderId="0" applyNumberFormat="0" applyBorder="0" applyAlignment="0" applyProtection="0"/>
    <xf numFmtId="0" fontId="77" fillId="72"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73" borderId="0" applyNumberFormat="0" applyBorder="0" applyAlignment="0" applyProtection="0"/>
    <xf numFmtId="0" fontId="77" fillId="89" borderId="0" applyNumberFormat="0" applyBorder="0" applyAlignment="0" applyProtection="0"/>
    <xf numFmtId="0" fontId="77" fillId="89" borderId="0" applyNumberFormat="0" applyBorder="0" applyAlignment="0" applyProtection="0"/>
    <xf numFmtId="0" fontId="77" fillId="80" borderId="0" applyNumberFormat="0" applyBorder="0" applyAlignment="0" applyProtection="0"/>
    <xf numFmtId="0" fontId="77" fillId="84" borderId="0" applyNumberFormat="0" applyBorder="0" applyAlignment="0" applyProtection="0"/>
    <xf numFmtId="0" fontId="77" fillId="86"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89" borderId="0" applyNumberFormat="0" applyBorder="0" applyAlignment="0" applyProtection="0"/>
    <xf numFmtId="0" fontId="77" fillId="80" borderId="0" applyNumberFormat="0" applyBorder="0" applyAlignment="0" applyProtection="0"/>
    <xf numFmtId="0" fontId="77" fillId="80" borderId="0" applyNumberFormat="0" applyBorder="0" applyAlignment="0" applyProtection="0"/>
    <xf numFmtId="0" fontId="77" fillId="84" borderId="0" applyNumberFormat="0" applyBorder="0" applyAlignment="0" applyProtection="0"/>
    <xf numFmtId="0" fontId="77" fillId="84" borderId="0" applyNumberFormat="0" applyBorder="0" applyAlignment="0" applyProtection="0"/>
    <xf numFmtId="0" fontId="77" fillId="86"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89" borderId="0" applyNumberFormat="0" applyBorder="0" applyAlignment="0" applyProtection="0"/>
    <xf numFmtId="0" fontId="88" fillId="0" borderId="47">
      <alignment horizontal="center" vertical="center"/>
    </xf>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51" fillId="0" borderId="0"/>
    <xf numFmtId="0" fontId="89" fillId="0" borderId="0"/>
    <xf numFmtId="0" fontId="90"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1" fillId="65" borderId="49" applyNumberFormat="0" applyAlignment="0" applyProtection="0"/>
    <xf numFmtId="0" fontId="92" fillId="91" borderId="47"/>
    <xf numFmtId="0" fontId="93" fillId="0" borderId="0" applyFont="0" applyFill="0" applyBorder="0" applyAlignment="0" applyProtection="0"/>
    <xf numFmtId="0" fontId="93" fillId="0" borderId="0" applyFont="0" applyFill="0" applyBorder="0" applyAlignment="0" applyProtection="0"/>
    <xf numFmtId="182" fontId="94" fillId="91" borderId="47" applyBorder="0"/>
    <xf numFmtId="0" fontId="92" fillId="91" borderId="47">
      <alignment horizontal="center"/>
      <protection locked="0"/>
    </xf>
    <xf numFmtId="9" fontId="95" fillId="42" borderId="14">
      <alignment horizontal="right"/>
    </xf>
    <xf numFmtId="0" fontId="95" fillId="42" borderId="14">
      <alignment horizontal="right"/>
    </xf>
    <xf numFmtId="10" fontId="95" fillId="42" borderId="14">
      <alignment horizontal="right"/>
    </xf>
    <xf numFmtId="0" fontId="95" fillId="42" borderId="14">
      <alignment horizontal="right"/>
    </xf>
    <xf numFmtId="0" fontId="95" fillId="42" borderId="14">
      <alignment horizontal="right"/>
    </xf>
    <xf numFmtId="0" fontId="95" fillId="42" borderId="14">
      <alignment horizontal="right"/>
    </xf>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97" fillId="0" borderId="0" applyNumberFormat="0" applyFill="0" applyBorder="0" applyAlignment="0" applyProtection="0"/>
    <xf numFmtId="0" fontId="14" fillId="0" borderId="0" applyNumberFormat="0" applyFill="0" applyBorder="0" applyAlignment="0" applyProtection="0"/>
    <xf numFmtId="0" fontId="98" fillId="0" borderId="0" applyNumberFormat="0" applyFill="0" applyBorder="0" applyAlignment="0" applyProtection="0"/>
    <xf numFmtId="0" fontId="86" fillId="0" borderId="0" applyNumberFormat="0" applyFill="0" applyBorder="0" applyAlignment="0" applyProtection="0"/>
    <xf numFmtId="0" fontId="28" fillId="92" borderId="0" applyNumberFormat="0" applyBorder="0" applyAlignment="0" applyProtection="0"/>
    <xf numFmtId="0" fontId="36" fillId="48" borderId="0" applyNumberFormat="0" applyBorder="0" applyAlignment="0" applyProtection="0"/>
    <xf numFmtId="0" fontId="7" fillId="3" borderId="0" applyNumberFormat="0" applyBorder="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100" fillId="60" borderId="49" applyNumberFormat="0" applyAlignment="0" applyProtection="0"/>
    <xf numFmtId="0" fontId="100" fillId="60" borderId="49" applyNumberFormat="0" applyAlignment="0" applyProtection="0"/>
    <xf numFmtId="0" fontId="100" fillId="60" borderId="49" applyNumberFormat="0" applyAlignment="0" applyProtection="0"/>
    <xf numFmtId="183" fontId="99" fillId="0" borderId="0">
      <alignment horizontal="right"/>
    </xf>
    <xf numFmtId="184" fontId="48" fillId="0" borderId="0" applyNumberFormat="0" applyFont="0" applyAlignment="0">
      <alignment vertical="top"/>
    </xf>
    <xf numFmtId="0" fontId="36" fillId="48" borderId="0" applyNumberFormat="0" applyBorder="0" applyAlignment="0" applyProtection="0"/>
    <xf numFmtId="0" fontId="101" fillId="57" borderId="0" applyNumberFormat="0" applyBorder="0" applyAlignment="0" applyProtection="0"/>
    <xf numFmtId="0" fontId="102" fillId="0" borderId="51" applyNumberFormat="0" applyFont="0" applyFill="0" applyAlignment="0" applyProtection="0"/>
    <xf numFmtId="0" fontId="102" fillId="0" borderId="52" applyNumberFormat="0" applyFont="0" applyFill="0" applyAlignment="0" applyProtection="0"/>
    <xf numFmtId="0" fontId="103" fillId="57" borderId="0" applyNumberFormat="0" applyBorder="0" applyAlignment="0" applyProtection="0"/>
    <xf numFmtId="0" fontId="51" fillId="0" borderId="0" applyFont="0" applyFill="0" applyBorder="0" applyAlignment="0" applyProtection="0"/>
    <xf numFmtId="0" fontId="103" fillId="57" borderId="0" applyNumberFormat="0" applyBorder="0" applyAlignment="0" applyProtection="0"/>
    <xf numFmtId="0" fontId="104" fillId="0" borderId="0"/>
    <xf numFmtId="0" fontId="51" fillId="0" borderId="0" applyFont="0" applyFill="0" applyBorder="0" applyAlignment="0" applyProtection="0"/>
    <xf numFmtId="0" fontId="28" fillId="93" borderId="0" applyNumberFormat="0" applyBorder="0" applyAlignment="0" applyProtection="0"/>
    <xf numFmtId="185" fontId="80" fillId="94" borderId="14">
      <alignment horizontal="center"/>
    </xf>
    <xf numFmtId="186" fontId="28" fillId="95" borderId="53" applyNumberFormat="0">
      <alignment vertical="center"/>
    </xf>
    <xf numFmtId="187" fontId="28" fillId="49" borderId="53" applyNumberFormat="0">
      <alignment vertical="center"/>
    </xf>
    <xf numFmtId="187" fontId="28" fillId="49" borderId="53" applyNumberFormat="0">
      <alignment vertical="center"/>
    </xf>
    <xf numFmtId="187" fontId="28" fillId="49" borderId="53" applyNumberFormat="0">
      <alignment vertical="center"/>
    </xf>
    <xf numFmtId="1" fontId="28" fillId="96" borderId="53" applyNumberFormat="0">
      <alignment vertical="center"/>
    </xf>
    <xf numFmtId="1" fontId="28" fillId="96" borderId="53" applyNumberFormat="0">
      <alignment vertical="center"/>
    </xf>
    <xf numFmtId="1" fontId="28" fillId="96" borderId="53" applyNumberFormat="0">
      <alignment vertical="center"/>
    </xf>
    <xf numFmtId="186" fontId="28" fillId="96" borderId="53" applyNumberFormat="0">
      <alignment vertical="center"/>
    </xf>
    <xf numFmtId="186" fontId="28" fillId="96" borderId="53" applyNumberFormat="0">
      <alignment vertical="center"/>
    </xf>
    <xf numFmtId="186" fontId="28" fillId="96" borderId="53" applyNumberFormat="0">
      <alignment vertical="center"/>
    </xf>
    <xf numFmtId="186" fontId="28" fillId="51" borderId="53" applyNumberFormat="0">
      <alignment vertical="center"/>
    </xf>
    <xf numFmtId="186" fontId="28" fillId="51" borderId="53" applyNumberFormat="0">
      <alignment vertical="center"/>
    </xf>
    <xf numFmtId="186" fontId="28" fillId="51" borderId="53" applyNumberFormat="0">
      <alignment vertical="center"/>
    </xf>
    <xf numFmtId="188" fontId="105" fillId="0" borderId="0"/>
    <xf numFmtId="3" fontId="28" fillId="0" borderId="53" applyNumberFormat="0">
      <alignment vertical="center"/>
    </xf>
    <xf numFmtId="3" fontId="28" fillId="0" borderId="53" applyNumberFormat="0">
      <alignment vertical="center"/>
    </xf>
    <xf numFmtId="3" fontId="28" fillId="0" borderId="53" applyNumberFormat="0">
      <alignment vertical="center"/>
    </xf>
    <xf numFmtId="189" fontId="37" fillId="97" borderId="53" applyNumberFormat="0" applyFont="0" applyAlignment="0">
      <alignment vertical="center"/>
    </xf>
    <xf numFmtId="189" fontId="37" fillId="97" borderId="53" applyNumberFormat="0" applyFont="0" applyAlignment="0">
      <alignment vertical="center"/>
    </xf>
    <xf numFmtId="189" fontId="37" fillId="97" borderId="53" applyNumberFormat="0" applyFont="0" applyAlignment="0">
      <alignment vertical="center"/>
    </xf>
    <xf numFmtId="186" fontId="28" fillId="95" borderId="53" applyNumberFormat="0">
      <alignment vertical="center"/>
    </xf>
    <xf numFmtId="186" fontId="28" fillId="95" borderId="53" applyNumberFormat="0">
      <alignment vertical="center"/>
    </xf>
    <xf numFmtId="186" fontId="28" fillId="95" borderId="53" applyNumberFormat="0">
      <alignment vertical="center"/>
    </xf>
    <xf numFmtId="186" fontId="28" fillId="95" borderId="53" applyNumberFormat="0">
      <alignment vertical="center"/>
    </xf>
    <xf numFmtId="186" fontId="28" fillId="95" borderId="53" applyNumberFormat="0">
      <alignment vertical="center"/>
    </xf>
    <xf numFmtId="186" fontId="28" fillId="95" borderId="53" applyNumberFormat="0">
      <alignment vertical="center"/>
    </xf>
    <xf numFmtId="186" fontId="28" fillId="95" borderId="53" applyNumberFormat="0">
      <alignment vertical="center"/>
    </xf>
    <xf numFmtId="186" fontId="28" fillId="95" borderId="53" applyNumberFormat="0">
      <alignment vertical="center"/>
    </xf>
    <xf numFmtId="186" fontId="28" fillId="95" borderId="53" applyNumberFormat="0">
      <alignment vertical="center"/>
    </xf>
    <xf numFmtId="186" fontId="28" fillId="95" borderId="53" applyNumberFormat="0">
      <alignment vertical="center"/>
    </xf>
    <xf numFmtId="186" fontId="28" fillId="95" borderId="53" applyNumberFormat="0">
      <alignment vertical="center"/>
    </xf>
    <xf numFmtId="186" fontId="28" fillId="95" borderId="53" applyNumberFormat="0">
      <alignment vertical="center"/>
    </xf>
    <xf numFmtId="186" fontId="28" fillId="95" borderId="53" applyNumberFormat="0">
      <alignment vertical="center"/>
    </xf>
    <xf numFmtId="186" fontId="28" fillId="95" borderId="53" applyNumberFormat="0">
      <alignment vertical="center"/>
    </xf>
    <xf numFmtId="186" fontId="28" fillId="95" borderId="53" applyNumberFormat="0">
      <alignment vertical="center"/>
    </xf>
    <xf numFmtId="186" fontId="28" fillId="95" borderId="53" applyNumberFormat="0">
      <alignment vertical="center"/>
    </xf>
    <xf numFmtId="186" fontId="28" fillId="95" borderId="53" applyNumberFormat="0">
      <alignment vertical="center"/>
    </xf>
    <xf numFmtId="186" fontId="37" fillId="98" borderId="53" applyNumberFormat="0">
      <alignment vertical="center"/>
    </xf>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106"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107" fillId="61" borderId="49" applyNumberFormat="0" applyAlignment="0" applyProtection="0"/>
    <xf numFmtId="0" fontId="90" fillId="65" borderId="49" applyNumberFormat="0" applyAlignment="0" applyProtection="0"/>
    <xf numFmtId="0" fontId="90" fillId="65" borderId="49" applyNumberFormat="0" applyAlignment="0" applyProtection="0"/>
    <xf numFmtId="0" fontId="11" fillId="6" borderId="4" applyNumberFormat="0" applyAlignment="0" applyProtection="0"/>
    <xf numFmtId="0" fontId="11" fillId="61" borderId="4" applyNumberFormat="0" applyAlignment="0" applyProtection="0"/>
    <xf numFmtId="0" fontId="11" fillId="61" borderId="4" applyNumberFormat="0" applyAlignment="0" applyProtection="0"/>
    <xf numFmtId="0" fontId="90" fillId="65" borderId="49" applyNumberFormat="0" applyAlignment="0" applyProtection="0"/>
    <xf numFmtId="0" fontId="90" fillId="65" borderId="49" applyNumberFormat="0" applyAlignment="0" applyProtection="0"/>
    <xf numFmtId="0" fontId="108" fillId="6" borderId="4" applyNumberFormat="0" applyAlignment="0" applyProtection="0"/>
    <xf numFmtId="0" fontId="108" fillId="6" borderId="4"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190" fontId="51" fillId="99" borderId="47" applyProtection="0"/>
    <xf numFmtId="0" fontId="28" fillId="77" borderId="0" applyNumberFormat="0" applyBorder="0" applyAlignment="0" applyProtection="0"/>
    <xf numFmtId="0" fontId="28" fillId="92" borderId="0" applyNumberFormat="0" applyBorder="0" applyAlignment="0" applyProtection="0"/>
    <xf numFmtId="0" fontId="28" fillId="93" borderId="0" applyNumberFormat="0" applyBorder="0" applyAlignment="0" applyProtection="0"/>
    <xf numFmtId="0" fontId="28" fillId="100" borderId="0" applyNumberFormat="0" applyBorder="0" applyAlignment="0" applyProtection="0"/>
    <xf numFmtId="0" fontId="47" fillId="75" borderId="54" applyNumberFormat="0" applyAlignment="0" applyProtection="0"/>
    <xf numFmtId="0" fontId="109" fillId="0" borderId="55"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110" fillId="0" borderId="55" applyNumberFormat="0" applyFill="0" applyAlignment="0" applyProtection="0"/>
    <xf numFmtId="0" fontId="110" fillId="0" borderId="55" applyNumberFormat="0" applyFill="0" applyAlignment="0" applyProtection="0"/>
    <xf numFmtId="0" fontId="111" fillId="75" borderId="54" applyNumberFormat="0" applyAlignment="0" applyProtection="0"/>
    <xf numFmtId="0" fontId="111" fillId="75" borderId="54" applyNumberFormat="0" applyAlignment="0" applyProtection="0"/>
    <xf numFmtId="0" fontId="109" fillId="0" borderId="55" applyNumberFormat="0" applyFill="0" applyAlignment="0" applyProtection="0"/>
    <xf numFmtId="0" fontId="109" fillId="0" borderId="55" applyNumberFormat="0" applyFill="0" applyAlignment="0" applyProtection="0"/>
    <xf numFmtId="0" fontId="109" fillId="0" borderId="55" applyNumberFormat="0" applyFill="0" applyAlignment="0" applyProtection="0"/>
    <xf numFmtId="0" fontId="109" fillId="0" borderId="55" applyNumberFormat="0" applyFill="0" applyAlignment="0" applyProtection="0"/>
    <xf numFmtId="0" fontId="112" fillId="0" borderId="55" applyNumberFormat="0" applyFill="0" applyAlignment="0" applyProtection="0"/>
    <xf numFmtId="0" fontId="12" fillId="0" borderId="6" applyNumberFormat="0" applyFill="0" applyAlignment="0" applyProtection="0"/>
    <xf numFmtId="0" fontId="113" fillId="0" borderId="6" applyNumberFormat="0" applyFill="0" applyAlignment="0" applyProtection="0"/>
    <xf numFmtId="0" fontId="109" fillId="0" borderId="55" applyNumberFormat="0" applyFill="0" applyAlignment="0" applyProtection="0"/>
    <xf numFmtId="0" fontId="51" fillId="0" borderId="47">
      <alignment horizontal="left" vertical="center"/>
    </xf>
    <xf numFmtId="191" fontId="114" fillId="0" borderId="0" applyFill="0" applyBorder="0" applyProtection="0">
      <alignment horizontal="center" vertical="center"/>
    </xf>
    <xf numFmtId="192" fontId="115" fillId="53" borderId="57">
      <alignment horizontal="center" vertical="center"/>
      <protection locked="0"/>
    </xf>
    <xf numFmtId="192" fontId="116" fillId="0" borderId="0" applyFill="0" applyBorder="0">
      <alignment horizontal="center" vertical="center"/>
    </xf>
    <xf numFmtId="0" fontId="47" fillId="75" borderId="54" applyNumberFormat="0" applyAlignment="0" applyProtection="0"/>
    <xf numFmtId="0" fontId="47" fillId="75" borderId="54" applyNumberFormat="0" applyAlignment="0" applyProtection="0"/>
    <xf numFmtId="0" fontId="36" fillId="48" borderId="0" applyNumberFormat="0" applyBorder="0" applyAlignment="0" applyProtection="0"/>
    <xf numFmtId="0" fontId="117" fillId="0" borderId="0" applyNumberFormat="0" applyFill="0" applyBorder="0" applyAlignment="0" applyProtection="0"/>
    <xf numFmtId="0" fontId="118" fillId="0" borderId="44" applyNumberFormat="0" applyFill="0" applyAlignment="0" applyProtection="0"/>
    <xf numFmtId="0" fontId="119" fillId="0" borderId="45" applyNumberFormat="0" applyFill="0" applyAlignment="0" applyProtection="0"/>
    <xf numFmtId="0" fontId="120" fillId="0" borderId="46" applyNumberFormat="0" applyFill="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122" fillId="0" borderId="0" applyNumberFormat="0" applyFill="0" applyBorder="0" applyAlignment="0" applyProtection="0"/>
    <xf numFmtId="4" fontId="95" fillId="0" borderId="0">
      <alignment horizontal="center" vertical="center" wrapText="1"/>
    </xf>
    <xf numFmtId="0" fontId="51" fillId="0" borderId="0" applyFont="0" applyFill="0" applyBorder="0" applyAlignment="0" applyProtection="0"/>
    <xf numFmtId="0" fontId="81" fillId="80" borderId="0" applyNumberFormat="0" applyBorder="0" applyAlignment="0" applyProtection="0"/>
    <xf numFmtId="0" fontId="81" fillId="80" borderId="0" applyNumberFormat="0" applyBorder="0" applyAlignment="0" applyProtection="0"/>
    <xf numFmtId="0" fontId="81" fillId="84" borderId="0" applyNumberFormat="0" applyBorder="0" applyAlignment="0" applyProtection="0"/>
    <xf numFmtId="0" fontId="81" fillId="84" borderId="0" applyNumberFormat="0" applyBorder="0" applyAlignment="0" applyProtection="0"/>
    <xf numFmtId="0" fontId="81" fillId="86" borderId="0" applyNumberFormat="0" applyBorder="0" applyAlignment="0" applyProtection="0"/>
    <xf numFmtId="0" fontId="81" fillId="86" borderId="0" applyNumberFormat="0" applyBorder="0" applyAlignment="0" applyProtection="0"/>
    <xf numFmtId="0" fontId="81" fillId="72" borderId="0" applyNumberFormat="0" applyBorder="0" applyAlignment="0" applyProtection="0"/>
    <xf numFmtId="0" fontId="81" fillId="72" borderId="0" applyNumberFormat="0" applyBorder="0" applyAlignment="0" applyProtection="0"/>
    <xf numFmtId="0" fontId="81" fillId="73" borderId="0" applyNumberFormat="0" applyBorder="0" applyAlignment="0" applyProtection="0"/>
    <xf numFmtId="0" fontId="81" fillId="73" borderId="0" applyNumberFormat="0" applyBorder="0" applyAlignment="0" applyProtection="0"/>
    <xf numFmtId="0" fontId="81" fillId="89" borderId="0" applyNumberFormat="0" applyBorder="0" applyAlignment="0" applyProtection="0"/>
    <xf numFmtId="0" fontId="81" fillId="89" borderId="0" applyNumberFormat="0" applyBorder="0" applyAlignment="0" applyProtection="0"/>
    <xf numFmtId="0" fontId="123" fillId="0" borderId="0" applyNumberFormat="0" applyFill="0" applyBorder="0" applyAlignment="0" applyProtection="0"/>
    <xf numFmtId="0" fontId="124" fillId="0" borderId="0" applyNumberFormat="0">
      <alignment horizontal="center" wrapText="1"/>
    </xf>
    <xf numFmtId="0" fontId="124" fillId="0" borderId="0" applyNumberFormat="0">
      <alignment horizontal="center" wrapText="1"/>
    </xf>
    <xf numFmtId="193" fontId="28" fillId="0" borderId="0" applyFill="0" applyBorder="0" applyAlignment="0" applyProtection="0"/>
    <xf numFmtId="194" fontId="28" fillId="0" borderId="0" applyFont="0" applyFill="0" applyBorder="0" applyAlignment="0" applyProtection="0"/>
    <xf numFmtId="194" fontId="28" fillId="0" borderId="0" applyFont="0" applyFill="0" applyBorder="0" applyAlignment="0" applyProtection="0"/>
    <xf numFmtId="194" fontId="28" fillId="0" borderId="0" applyFont="0" applyFill="0" applyBorder="0" applyAlignment="0" applyProtection="0"/>
    <xf numFmtId="0" fontId="125" fillId="0" borderId="0" applyFont="0" applyFill="0" applyBorder="0" applyAlignment="0" applyProtection="0">
      <alignment horizontal="right"/>
    </xf>
    <xf numFmtId="43" fontId="3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172"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126" fillId="0" borderId="0" applyFont="0" applyFill="0" applyBorder="0" applyAlignment="0" applyProtection="0"/>
    <xf numFmtId="172" fontId="37" fillId="0" borderId="0" applyFont="0" applyFill="0" applyBorder="0" applyAlignment="0" applyProtection="0"/>
    <xf numFmtId="172" fontId="126" fillId="0" borderId="0" applyFont="0" applyFill="0" applyBorder="0" applyAlignment="0" applyProtection="0"/>
    <xf numFmtId="172" fontId="37"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172" fontId="12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12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43" fontId="25"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165" fontId="37" fillId="0" borderId="0" applyFont="0" applyFill="0" applyBorder="0" applyAlignment="0" applyProtection="0"/>
    <xf numFmtId="43" fontId="37"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37"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43" fontId="126" fillId="0" borderId="0" applyFont="0" applyFill="0" applyBorder="0" applyAlignment="0" applyProtection="0"/>
    <xf numFmtId="43" fontId="126" fillId="0" borderId="0" applyFont="0" applyFill="0" applyBorder="0" applyAlignment="0" applyProtection="0"/>
    <xf numFmtId="172" fontId="12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99" fillId="0" borderId="0" applyFont="0" applyFill="0" applyBorder="0" applyAlignment="0" applyProtection="0"/>
    <xf numFmtId="43" fontId="25" fillId="0" borderId="0" applyFont="0" applyFill="0" applyBorder="0" applyAlignment="0" applyProtection="0"/>
    <xf numFmtId="172" fontId="126" fillId="0" borderId="0" applyFont="0" applyFill="0" applyBorder="0" applyAlignment="0" applyProtection="0"/>
    <xf numFmtId="165"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99" fillId="0" borderId="0" applyFont="0" applyFill="0" applyBorder="0" applyAlignment="0" applyProtection="0"/>
    <xf numFmtId="43" fontId="37" fillId="0" borderId="0" applyFont="0" applyFill="0" applyBorder="0" applyAlignment="0" applyProtection="0"/>
    <xf numFmtId="165" fontId="37" fillId="0" borderId="0" applyFont="0" applyFill="0" applyBorder="0" applyAlignment="0" applyProtection="0"/>
    <xf numFmtId="172" fontId="37" fillId="0" borderId="0" applyFont="0" applyFill="0" applyBorder="0" applyAlignment="0" applyProtection="0"/>
    <xf numFmtId="43" fontId="127" fillId="0" borderId="0" applyFont="0" applyFill="0" applyBorder="0" applyAlignment="0" applyProtection="0"/>
    <xf numFmtId="43" fontId="127"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99" fillId="0" borderId="0" applyFont="0" applyFill="0" applyBorder="0" applyAlignment="0" applyProtection="0"/>
    <xf numFmtId="172" fontId="127" fillId="0" borderId="0" applyFont="0" applyFill="0" applyBorder="0" applyAlignment="0" applyProtection="0"/>
    <xf numFmtId="165" fontId="3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18" fillId="0" borderId="0" applyFont="0" applyFill="0" applyBorder="0" applyAlignment="0" applyProtection="0"/>
    <xf numFmtId="172" fontId="126" fillId="0" borderId="0" applyFont="0" applyFill="0" applyBorder="0" applyAlignment="0" applyProtection="0"/>
    <xf numFmtId="172" fontId="126" fillId="0" borderId="0" applyFont="0" applyFill="0" applyBorder="0" applyAlignment="0" applyProtection="0"/>
    <xf numFmtId="172" fontId="126" fillId="0" borderId="0" applyFont="0" applyFill="0" applyBorder="0" applyAlignment="0" applyProtection="0"/>
    <xf numFmtId="172" fontId="126" fillId="0" borderId="0" applyFont="0" applyFill="0" applyBorder="0" applyAlignment="0" applyProtection="0"/>
    <xf numFmtId="172" fontId="126" fillId="0" borderId="0" applyFont="0" applyFill="0" applyBorder="0" applyAlignment="0" applyProtection="0"/>
    <xf numFmtId="172" fontId="126" fillId="0" borderId="0" applyFont="0" applyFill="0" applyBorder="0" applyAlignment="0" applyProtection="0"/>
    <xf numFmtId="43" fontId="37" fillId="0" borderId="0" applyFont="0" applyFill="0" applyBorder="0" applyAlignment="0" applyProtection="0"/>
    <xf numFmtId="165" fontId="37" fillId="0" borderId="0" applyFont="0" applyFill="0" applyBorder="0" applyAlignment="0" applyProtection="0"/>
    <xf numFmtId="172" fontId="12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12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25" fillId="0" borderId="0" applyFont="0" applyFill="0" applyBorder="0" applyAlignment="0" applyProtection="0"/>
    <xf numFmtId="43" fontId="37"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96" fontId="28" fillId="0" borderId="0" applyFont="0" applyFill="0" applyBorder="0" applyAlignment="0" applyProtection="0"/>
    <xf numFmtId="196" fontId="28" fillId="0" borderId="0" applyFont="0" applyFill="0" applyBorder="0" applyAlignment="0" applyProtection="0"/>
    <xf numFmtId="172"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172" fontId="3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5" fillId="0" borderId="0" applyFont="0" applyFill="0" applyBorder="0" applyAlignment="0" applyProtection="0"/>
    <xf numFmtId="172" fontId="2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0" fontId="28" fillId="0" borderId="58" applyFont="0" applyFill="0" applyBorder="0" applyAlignment="0" applyProtection="0">
      <alignment horizontal="right"/>
    </xf>
    <xf numFmtId="0" fontId="28" fillId="0" borderId="58" applyFont="0" applyFill="0" applyBorder="0" applyAlignment="0" applyProtection="0">
      <alignment horizontal="right"/>
    </xf>
    <xf numFmtId="0" fontId="28" fillId="0" borderId="58" applyFont="0" applyFill="0" applyBorder="0" applyAlignment="0" applyProtection="0">
      <alignment horizontal="right"/>
    </xf>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128" fillId="62" borderId="48" applyNumberFormat="0" applyFont="0" applyAlignment="0" applyProtection="0"/>
    <xf numFmtId="0" fontId="128" fillId="62" borderId="48" applyNumberFormat="0" applyFont="0" applyAlignment="0" applyProtection="0"/>
    <xf numFmtId="0" fontId="128"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1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128"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25" fillId="8" borderId="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129" fillId="8" borderId="8" applyNumberFormat="0" applyFont="0" applyAlignment="0" applyProtection="0"/>
    <xf numFmtId="0" fontId="129" fillId="8" borderId="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1" fillId="8" borderId="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1" fillId="8" borderId="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130" fillId="0" borderId="0" applyFill="0" applyBorder="0"/>
    <xf numFmtId="186" fontId="131" fillId="101" borderId="0" applyFont="0" applyAlignment="0">
      <alignment vertical="center" wrapText="1"/>
    </xf>
    <xf numFmtId="186" fontId="132" fillId="101" borderId="14" applyNumberFormat="0" applyBorder="0" applyAlignment="0">
      <alignment vertical="center" wrapText="1"/>
    </xf>
    <xf numFmtId="0" fontId="133" fillId="0" borderId="0"/>
    <xf numFmtId="0" fontId="133" fillId="0" borderId="0"/>
    <xf numFmtId="197" fontId="28" fillId="0" borderId="0" applyFill="0" applyBorder="0" applyAlignment="0" applyProtection="0"/>
    <xf numFmtId="198" fontId="28" fillId="0" borderId="0" applyFill="0" applyBorder="0" applyAlignment="0" applyProtection="0"/>
    <xf numFmtId="0" fontId="125" fillId="0" borderId="0" applyFont="0" applyFill="0" applyBorder="0" applyAlignment="0" applyProtection="0">
      <alignment horizontal="right"/>
    </xf>
    <xf numFmtId="199" fontId="99" fillId="0" borderId="0" applyFont="0" applyFill="0" applyBorder="0" applyAlignment="0" applyProtection="0"/>
    <xf numFmtId="199" fontId="99" fillId="0" borderId="0" applyFont="0" applyFill="0" applyBorder="0" applyAlignment="0" applyProtection="0"/>
    <xf numFmtId="200" fontId="99" fillId="0" borderId="0" applyFont="0" applyFill="0" applyBorder="0" applyAlignment="0" applyProtection="0"/>
    <xf numFmtId="200" fontId="99" fillId="0" borderId="0" applyFont="0" applyFill="0" applyBorder="0" applyAlignment="0" applyProtection="0"/>
    <xf numFmtId="0" fontId="28" fillId="100" borderId="0" applyNumberFormat="0" applyBorder="0" applyAlignment="0" applyProtection="0"/>
    <xf numFmtId="0" fontId="36" fillId="48" borderId="0" applyNumberFormat="0" applyBorder="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38" fontId="135" fillId="91" borderId="59"/>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125" fillId="0" borderId="0" applyFont="0" applyFill="0" applyBorder="0" applyAlignment="0" applyProtection="0"/>
    <xf numFmtId="201" fontId="51" fillId="95" borderId="47" applyFill="0" applyBorder="0" applyProtection="0">
      <alignment horizontal="left"/>
    </xf>
    <xf numFmtId="14" fontId="51" fillId="0" borderId="0" applyFont="0" applyFill="0" applyBorder="0" applyAlignment="0" applyProtection="0"/>
    <xf numFmtId="14" fontId="51" fillId="0" borderId="0" applyFont="0" applyFill="0" applyBorder="0" applyAlignment="0" applyProtection="0"/>
    <xf numFmtId="202" fontId="51" fillId="102" borderId="60" applyFill="0" applyBorder="0" applyProtection="0">
      <alignment horizontal="right"/>
      <protection locked="0"/>
    </xf>
    <xf numFmtId="0" fontId="28" fillId="77" borderId="0" applyNumberFormat="0" applyBorder="0" applyAlignment="0" applyProtection="0"/>
    <xf numFmtId="203" fontId="28" fillId="103" borderId="0" applyNumberFormat="0" applyFont="0" applyBorder="0" applyAlignment="0" applyProtection="0"/>
    <xf numFmtId="203" fontId="28" fillId="103" borderId="0" applyNumberFormat="0" applyFont="0" applyBorder="0" applyAlignment="0" applyProtection="0"/>
    <xf numFmtId="203" fontId="28" fillId="103" borderId="0" applyNumberFormat="0" applyFont="0" applyBorder="0" applyAlignment="0" applyProtection="0"/>
    <xf numFmtId="204" fontId="99" fillId="0" borderId="0" applyFont="0" applyFill="0" applyBorder="0" applyAlignment="0" applyProtection="0"/>
    <xf numFmtId="43" fontId="99" fillId="0" borderId="0" applyFont="0" applyFill="0" applyBorder="0" applyAlignment="0" applyProtection="0"/>
    <xf numFmtId="205" fontId="99" fillId="0" borderId="0" applyFont="0" applyFill="0" applyBorder="0" applyAlignment="0" applyProtection="0"/>
    <xf numFmtId="0" fontId="103" fillId="57" borderId="0" applyNumberFormat="0" applyBorder="0" applyAlignment="0" applyProtection="0"/>
    <xf numFmtId="0" fontId="103" fillId="57" borderId="0" applyNumberFormat="0" applyBorder="0" applyAlignment="0" applyProtection="0"/>
    <xf numFmtId="0" fontId="125" fillId="0" borderId="61" applyNumberFormat="0" applyFont="0" applyFill="0" applyAlignment="0" applyProtection="0"/>
    <xf numFmtId="172" fontId="18" fillId="0" borderId="0" applyFont="0" applyFill="0" applyBorder="0" applyAlignment="0" applyProtection="0"/>
    <xf numFmtId="206" fontId="136" fillId="0" borderId="0" applyFont="0" applyFill="0" applyBorder="0" applyAlignment="0" applyProtection="0"/>
    <xf numFmtId="207" fontId="137" fillId="0" borderId="0" applyFill="0" applyBorder="0">
      <alignment horizontal="center" vertical="center"/>
    </xf>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8" fillId="75" borderId="54" applyNumberFormat="0" applyAlignment="0" applyProtection="0"/>
    <xf numFmtId="0" fontId="50" fillId="104" borderId="0" applyNumberFormat="0" applyBorder="0" applyAlignment="0" applyProtection="0"/>
    <xf numFmtId="0" fontId="50" fillId="105" borderId="0" applyNumberFormat="0" applyBorder="0" applyAlignment="0" applyProtection="0"/>
    <xf numFmtId="0" fontId="50" fillId="106" borderId="0" applyNumberFormat="0" applyBorder="0" applyAlignment="0" applyProtection="0"/>
    <xf numFmtId="0" fontId="76" fillId="0" borderId="0" applyNumberFormat="0" applyFill="0" applyBorder="0" applyAlignment="0" applyProtection="0"/>
    <xf numFmtId="4" fontId="139" fillId="0" borderId="62" applyFill="0" applyAlignment="0" applyProtection="0">
      <alignment horizontal="center"/>
    </xf>
    <xf numFmtId="4" fontId="139" fillId="0" borderId="62" applyFill="0" applyAlignment="0" applyProtection="0">
      <alignment horizontal="center"/>
    </xf>
    <xf numFmtId="4" fontId="139" fillId="0" borderId="62" applyFill="0" applyAlignment="0" applyProtection="0">
      <alignment horizontal="center"/>
    </xf>
    <xf numFmtId="4" fontId="139" fillId="0" borderId="62" applyFill="0" applyAlignment="0" applyProtection="0">
      <alignment horizontal="center"/>
    </xf>
    <xf numFmtId="4" fontId="139" fillId="0" borderId="62" applyFill="0" applyAlignment="0" applyProtection="0">
      <alignment horizontal="center"/>
    </xf>
    <xf numFmtId="4" fontId="139" fillId="0" borderId="62" applyFill="0" applyAlignment="0" applyProtection="0">
      <alignment horizontal="center"/>
    </xf>
    <xf numFmtId="4" fontId="139" fillId="0" borderId="62" applyFill="0" applyAlignment="0" applyProtection="0">
      <alignment horizontal="center"/>
    </xf>
    <xf numFmtId="4" fontId="139" fillId="0" borderId="62" applyFill="0" applyAlignment="0" applyProtection="0">
      <alignment horizontal="center"/>
    </xf>
    <xf numFmtId="4" fontId="139" fillId="0" borderId="62" applyFill="0" applyAlignment="0" applyProtection="0">
      <alignment horizontal="center"/>
    </xf>
    <xf numFmtId="4" fontId="139" fillId="0" borderId="62" applyFill="0" applyAlignment="0" applyProtection="0">
      <alignment horizontal="center"/>
    </xf>
    <xf numFmtId="0" fontId="77" fillId="80" borderId="0" applyNumberFormat="0" applyBorder="0" applyAlignment="0" applyProtection="0"/>
    <xf numFmtId="0" fontId="77" fillId="84" borderId="0" applyNumberFormat="0" applyBorder="0" applyAlignment="0" applyProtection="0"/>
    <xf numFmtId="0" fontId="77" fillId="86"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89" borderId="0" applyNumberFormat="0" applyBorder="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40"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9" fillId="5" borderId="4"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41" fillId="5" borderId="4" applyNumberFormat="0" applyAlignment="0" applyProtection="0"/>
    <xf numFmtId="0" fontId="141" fillId="5" borderId="4"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87" fillId="0" borderId="0" applyNumberFormat="0" applyFill="0" applyBorder="0" applyAlignment="0" applyProtection="0"/>
    <xf numFmtId="208" fontId="28" fillId="0" borderId="0" applyFont="0" applyFill="0" applyBorder="0" applyAlignment="0" applyProtection="0"/>
    <xf numFmtId="209" fontId="28" fillId="0" borderId="0" applyFill="0" applyBorder="0" applyAlignment="0" applyProtection="0"/>
    <xf numFmtId="208"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210"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211"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2" fontId="28" fillId="0" borderId="0" applyFont="0" applyFill="0" applyBorder="0" applyAlignment="0" applyProtection="0"/>
    <xf numFmtId="208" fontId="25" fillId="0" borderId="0" applyFont="0" applyFill="0" applyBorder="0" applyAlignment="0" applyProtection="0"/>
    <xf numFmtId="208" fontId="25" fillId="0" borderId="0" applyFont="0" applyFill="0" applyBorder="0" applyAlignment="0" applyProtection="0"/>
    <xf numFmtId="211" fontId="28" fillId="0" borderId="0" applyFont="0" applyFill="0" applyBorder="0" applyAlignment="0" applyProtection="0"/>
    <xf numFmtId="208" fontId="25" fillId="0" borderId="0" applyFont="0" applyFill="0" applyBorder="0" applyAlignment="0" applyProtection="0"/>
    <xf numFmtId="208" fontId="25" fillId="0" borderId="0" applyFont="0" applyFill="0" applyBorder="0" applyAlignment="0" applyProtection="0"/>
    <xf numFmtId="208" fontId="25" fillId="0" borderId="0" applyFont="0" applyFill="0" applyBorder="0" applyAlignment="0" applyProtection="0"/>
    <xf numFmtId="212" fontId="28" fillId="0" borderId="0" applyFont="0" applyFill="0" applyBorder="0" applyAlignment="0" applyProtection="0"/>
    <xf numFmtId="211" fontId="28" fillId="0" borderId="0" applyFont="0" applyFill="0" applyBorder="0" applyAlignment="0" applyProtection="0"/>
    <xf numFmtId="212" fontId="28" fillId="0" borderId="0" applyFont="0" applyFill="0" applyBorder="0" applyAlignment="0" applyProtection="0"/>
    <xf numFmtId="212" fontId="28" fillId="0" borderId="0" applyFont="0" applyFill="0" applyBorder="0" applyAlignment="0" applyProtection="0"/>
    <xf numFmtId="211" fontId="28" fillId="0" borderId="0" applyFont="0" applyFill="0" applyBorder="0" applyAlignment="0" applyProtection="0"/>
    <xf numFmtId="211"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3"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3" fontId="28" fillId="0" borderId="0" applyFont="0" applyFill="0" applyBorder="0" applyAlignment="0" applyProtection="0"/>
    <xf numFmtId="213" fontId="28" fillId="0" borderId="0" applyFont="0" applyFill="0" applyBorder="0" applyAlignment="0" applyProtection="0"/>
    <xf numFmtId="164" fontId="28" fillId="0" borderId="0" applyFont="0" applyFill="0" applyBorder="0" applyAlignment="0" applyProtection="0"/>
    <xf numFmtId="211" fontId="54" fillId="0" borderId="0" applyFont="0" applyFill="0" applyBorder="0" applyAlignment="0" applyProtection="0"/>
    <xf numFmtId="164" fontId="28" fillId="0" borderId="0" applyFont="0" applyFill="0" applyBorder="0" applyAlignment="0" applyProtection="0"/>
    <xf numFmtId="214" fontId="28" fillId="0" borderId="0" applyFont="0" applyFill="0" applyBorder="0" applyAlignment="0" applyProtection="0"/>
    <xf numFmtId="214" fontId="28" fillId="0" borderId="0" applyFont="0" applyFill="0" applyBorder="0" applyAlignment="0" applyProtection="0"/>
    <xf numFmtId="164" fontId="28" fillId="0" borderId="0" applyFont="0" applyFill="0" applyBorder="0" applyAlignment="0" applyProtection="0"/>
    <xf numFmtId="215" fontId="28" fillId="0" borderId="0" applyFill="0" applyBorder="0" applyAlignment="0" applyProtection="0"/>
    <xf numFmtId="0" fontId="142" fillId="0" borderId="0"/>
    <xf numFmtId="0" fontId="143" fillId="0" borderId="0"/>
    <xf numFmtId="0" fontId="28" fillId="0" borderId="0"/>
    <xf numFmtId="0" fontId="28" fillId="107" borderId="63" applyNumberFormat="0">
      <alignment vertical="center"/>
    </xf>
    <xf numFmtId="0" fontId="28" fillId="107" borderId="63" applyNumberFormat="0">
      <alignment vertical="center"/>
    </xf>
    <xf numFmtId="0" fontId="28" fillId="107" borderId="63" applyNumberFormat="0">
      <alignment vertical="center"/>
    </xf>
    <xf numFmtId="216" fontId="51" fillId="108" borderId="47" applyFill="0" applyBorder="0" applyProtection="0">
      <alignment horizontal="left"/>
    </xf>
    <xf numFmtId="0" fontId="87" fillId="0" borderId="0" applyNumberFormat="0" applyFill="0" applyBorder="0" applyAlignment="0" applyProtection="0"/>
    <xf numFmtId="217" fontId="28" fillId="42" borderId="0" applyNumberFormat="0" applyFont="0" applyBorder="0" applyAlignment="0" applyProtection="0"/>
    <xf numFmtId="217" fontId="28" fillId="42" borderId="0" applyNumberFormat="0" applyFont="0" applyBorder="0" applyAlignment="0" applyProtection="0"/>
    <xf numFmtId="217" fontId="28" fillId="42" borderId="0" applyNumberFormat="0" applyFont="0" applyBorder="0" applyAlignment="0" applyProtection="0"/>
    <xf numFmtId="0" fontId="144" fillId="0" borderId="0" applyNumberFormat="0" applyFill="0" applyBorder="0" applyAlignment="0" applyProtection="0"/>
    <xf numFmtId="0" fontId="67" fillId="0" borderId="0" applyNumberFormat="0" applyFill="0" applyBorder="0" applyAlignment="0" applyProtection="0"/>
    <xf numFmtId="218" fontId="145" fillId="0" borderId="0">
      <alignment horizontal="right" vertical="top"/>
    </xf>
    <xf numFmtId="219" fontId="146" fillId="0" borderId="0">
      <alignment horizontal="right" vertical="top"/>
    </xf>
    <xf numFmtId="0" fontId="145" fillId="0" borderId="0">
      <alignment horizontal="right" vertical="top"/>
    </xf>
    <xf numFmtId="0" fontId="146" fillId="0" borderId="0" applyFill="0" applyBorder="0">
      <alignment horizontal="right" vertical="top"/>
    </xf>
    <xf numFmtId="220" fontId="146" fillId="0" borderId="0" applyFill="0" applyBorder="0">
      <alignment horizontal="right" vertical="top"/>
    </xf>
    <xf numFmtId="221" fontId="146" fillId="0" borderId="0" applyFill="0" applyBorder="0">
      <alignment horizontal="right" vertical="top"/>
    </xf>
    <xf numFmtId="222" fontId="146" fillId="0" borderId="0" applyFill="0" applyBorder="0">
      <alignment horizontal="right" vertical="top"/>
    </xf>
    <xf numFmtId="0" fontId="147" fillId="0" borderId="0">
      <alignment horizontal="center" wrapText="1"/>
    </xf>
    <xf numFmtId="223" fontId="148" fillId="0" borderId="0" applyFill="0" applyBorder="0">
      <alignment vertical="top"/>
    </xf>
    <xf numFmtId="223" fontId="149" fillId="0" borderId="0" applyFill="0" applyBorder="0" applyProtection="0">
      <alignment vertical="top"/>
    </xf>
    <xf numFmtId="223" fontId="150" fillId="0" borderId="0">
      <alignment vertical="top"/>
    </xf>
    <xf numFmtId="224" fontId="146" fillId="0" borderId="0" applyFill="0" applyBorder="0" applyAlignment="0" applyProtection="0">
      <alignment horizontal="right" vertical="top"/>
    </xf>
    <xf numFmtId="223" fontId="132" fillId="0" borderId="0"/>
    <xf numFmtId="0" fontId="146" fillId="0" borderId="0" applyFill="0" applyBorder="0">
      <alignment horizontal="left" vertical="top"/>
    </xf>
    <xf numFmtId="225" fontId="28" fillId="0" borderId="0" applyFont="0" applyFill="0" applyBorder="0" applyAlignment="0" applyProtection="0"/>
    <xf numFmtId="225" fontId="28" fillId="0" borderId="0" applyFont="0" applyFill="0" applyBorder="0" applyAlignment="0" applyProtection="0"/>
    <xf numFmtId="225" fontId="28" fillId="0" borderId="0" applyFont="0" applyFill="0" applyBorder="0" applyAlignment="0" applyProtection="0"/>
    <xf numFmtId="0" fontId="77" fillId="80" borderId="0" applyNumberFormat="0" applyBorder="0" applyAlignment="0" applyProtection="0"/>
    <xf numFmtId="0" fontId="77" fillId="84" borderId="0" applyNumberFormat="0" applyBorder="0" applyAlignment="0" applyProtection="0"/>
    <xf numFmtId="0" fontId="77" fillId="86"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89" borderId="0" applyNumberFormat="0" applyBorder="0" applyAlignment="0" applyProtection="0"/>
    <xf numFmtId="189" fontId="55" fillId="0" borderId="0">
      <alignment vertical="top"/>
    </xf>
    <xf numFmtId="0" fontId="28" fillId="51" borderId="50" applyNumberFormat="0">
      <alignment vertical="center"/>
    </xf>
    <xf numFmtId="0" fontId="28" fillId="51" borderId="50" applyNumberFormat="0">
      <alignment vertical="center"/>
    </xf>
    <xf numFmtId="0" fontId="28" fillId="51" borderId="50" applyNumberFormat="0">
      <alignment vertical="center"/>
    </xf>
    <xf numFmtId="0" fontId="28" fillId="51" borderId="50" applyNumberFormat="0">
      <alignment vertical="center"/>
    </xf>
    <xf numFmtId="0" fontId="28" fillId="51" borderId="50" applyNumberFormat="0">
      <alignment vertical="center"/>
    </xf>
    <xf numFmtId="0" fontId="28" fillId="51" borderId="50" applyNumberFormat="0">
      <alignment vertical="center"/>
    </xf>
    <xf numFmtId="0" fontId="28" fillId="51" borderId="50" applyNumberFormat="0">
      <alignment vertical="center"/>
    </xf>
    <xf numFmtId="0" fontId="28" fillId="51" borderId="50" applyNumberFormat="0">
      <alignment vertical="center"/>
    </xf>
    <xf numFmtId="0" fontId="151" fillId="0" borderId="0" applyNumberFormat="0" applyFill="0" applyBorder="0" applyAlignment="0" applyProtection="0"/>
    <xf numFmtId="3" fontId="152" fillId="0" borderId="0" applyFont="0" applyFill="0" applyBorder="0" applyAlignment="0" applyProtection="0"/>
    <xf numFmtId="0" fontId="153" fillId="0" borderId="0" applyNumberFormat="0" applyFill="0" applyBorder="0" applyAlignment="0" applyProtection="0"/>
    <xf numFmtId="0" fontId="133" fillId="0" borderId="0"/>
    <xf numFmtId="0" fontId="28" fillId="0" borderId="0"/>
    <xf numFmtId="0" fontId="154" fillId="0" borderId="0" applyFill="0" applyBorder="0" applyProtection="0">
      <alignment horizontal="left"/>
    </xf>
    <xf numFmtId="0" fontId="87" fillId="0" borderId="0" applyNumberFormat="0" applyFill="0" applyBorder="0" applyAlignment="0" applyProtection="0"/>
    <xf numFmtId="0" fontId="87" fillId="0" borderId="0" applyNumberFormat="0" applyFill="0" applyBorder="0" applyAlignment="0" applyProtection="0"/>
    <xf numFmtId="226" fontId="155" fillId="42" borderId="64" applyNumberFormat="0" applyFont="0" applyAlignment="0">
      <alignment vertical="center"/>
    </xf>
    <xf numFmtId="227" fontId="156" fillId="109" borderId="65" applyFont="0" applyFill="0" applyBorder="0" applyProtection="0">
      <alignment horizontal="center" vertical="center" wrapText="1"/>
      <protection locked="0"/>
    </xf>
    <xf numFmtId="227" fontId="156" fillId="109" borderId="65" applyFont="0" applyFill="0" applyBorder="0" applyProtection="0">
      <alignment horizontal="center" vertical="center" wrapText="1"/>
      <protection locked="0"/>
    </xf>
    <xf numFmtId="227" fontId="156" fillId="109" borderId="65" applyFont="0" applyFill="0" applyBorder="0" applyProtection="0">
      <alignment horizontal="center" vertical="center" wrapText="1"/>
      <protection locked="0"/>
    </xf>
    <xf numFmtId="203" fontId="157" fillId="0" borderId="0" applyNumberFormat="0" applyFill="0" applyBorder="0" applyAlignment="0" applyProtection="0"/>
    <xf numFmtId="0" fontId="37" fillId="0" borderId="0"/>
    <xf numFmtId="188" fontId="37" fillId="0" borderId="0"/>
    <xf numFmtId="188" fontId="37" fillId="0" borderId="0"/>
    <xf numFmtId="188" fontId="37" fillId="0" borderId="0"/>
    <xf numFmtId="0" fontId="103" fillId="57" borderId="0" applyNumberFormat="0" applyBorder="0" applyAlignment="0" applyProtection="0"/>
    <xf numFmtId="0" fontId="103" fillId="57" borderId="0" applyNumberFormat="0" applyBorder="0" applyAlignment="0" applyProtection="0"/>
    <xf numFmtId="0" fontId="103" fillId="57" borderId="0" applyNumberFormat="0" applyBorder="0" applyAlignment="0" applyProtection="0"/>
    <xf numFmtId="0" fontId="51" fillId="82" borderId="0" applyNumberFormat="0" applyBorder="0" applyAlignment="0" applyProtection="0"/>
    <xf numFmtId="0" fontId="158" fillId="51" borderId="66" applyNumberFormat="0">
      <alignment vertical="center"/>
    </xf>
    <xf numFmtId="0" fontId="103" fillId="5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159" fillId="48" borderId="0" applyNumberFormat="0" applyBorder="0" applyAlignment="0" applyProtection="0"/>
    <xf numFmtId="170" fontId="28" fillId="42" borderId="14" applyNumberFormat="0" applyFont="0" applyBorder="0" applyAlignment="0" applyProtection="0"/>
    <xf numFmtId="0" fontId="125" fillId="0" borderId="0" applyFont="0" applyFill="0" applyBorder="0" applyAlignment="0" applyProtection="0">
      <alignment horizontal="right"/>
    </xf>
    <xf numFmtId="228" fontId="160" fillId="42" borderId="0" applyNumberFormat="0" applyFont="0" applyAlignment="0"/>
    <xf numFmtId="0" fontId="103" fillId="57" borderId="0" applyNumberFormat="0" applyBorder="0" applyAlignment="0" applyProtection="0"/>
    <xf numFmtId="0" fontId="103" fillId="57" borderId="0" applyNumberFormat="0" applyBorder="0" applyAlignment="0" applyProtection="0"/>
    <xf numFmtId="0" fontId="161" fillId="57" borderId="0" applyNumberFormat="0" applyBorder="0" applyAlignment="0" applyProtection="0"/>
    <xf numFmtId="217" fontId="162" fillId="0" borderId="0" applyNumberFormat="0" applyFill="0" applyBorder="0" applyAlignment="0" applyProtection="0"/>
    <xf numFmtId="229" fontId="148" fillId="0" borderId="0"/>
    <xf numFmtId="217" fontId="162" fillId="0" borderId="0" applyNumberFormat="0" applyFill="0" applyBorder="0" applyAlignment="0" applyProtection="0"/>
    <xf numFmtId="229" fontId="162" fillId="0" borderId="0"/>
    <xf numFmtId="0" fontId="163" fillId="51" borderId="0"/>
    <xf numFmtId="0" fontId="164" fillId="110" borderId="0"/>
    <xf numFmtId="0" fontId="48" fillId="111" borderId="0" applyNumberFormat="0" applyFill="0" applyBorder="0" applyAlignment="0" applyProtection="0"/>
    <xf numFmtId="0" fontId="48" fillId="111" borderId="0" applyNumberFormat="0" applyFill="0" applyBorder="0" applyAlignment="0" applyProtection="0"/>
    <xf numFmtId="0" fontId="165" fillId="0" borderId="67" applyNumberFormat="0" applyFill="0" applyAlignment="0" applyProtection="0"/>
    <xf numFmtId="0" fontId="68" fillId="0" borderId="44" applyNumberFormat="0" applyFill="0" applyAlignment="0" applyProtection="0"/>
    <xf numFmtId="0" fontId="166" fillId="112" borderId="0" applyNumberFormat="0" applyFill="0" applyBorder="0" applyAlignment="0" applyProtection="0"/>
    <xf numFmtId="0" fontId="166" fillId="112" borderId="0" applyNumberFormat="0" applyFill="0" applyBorder="0" applyAlignment="0" applyProtection="0"/>
    <xf numFmtId="0" fontId="167" fillId="0" borderId="45" applyNumberFormat="0" applyFill="0" applyAlignment="0" applyProtection="0"/>
    <xf numFmtId="0" fontId="69" fillId="0" borderId="45" applyNumberFormat="0" applyFill="0" applyAlignment="0" applyProtection="0"/>
    <xf numFmtId="0" fontId="76" fillId="0" borderId="46" applyNumberFormat="0" applyFill="0" applyAlignment="0" applyProtection="0"/>
    <xf numFmtId="0" fontId="76" fillId="0" borderId="46" applyNumberFormat="0" applyFill="0" applyAlignment="0" applyProtection="0"/>
    <xf numFmtId="0" fontId="28" fillId="0" borderId="0" applyFill="0" applyBorder="0"/>
    <xf numFmtId="0" fontId="28" fillId="0" borderId="0" applyFill="0" applyBorder="0"/>
    <xf numFmtId="0" fontId="168" fillId="0" borderId="0" applyNumberFormat="0" applyFill="0" applyBorder="0" applyAlignment="0" applyProtection="0"/>
    <xf numFmtId="0" fontId="28" fillId="0" borderId="0" applyFill="0" applyBorder="0"/>
    <xf numFmtId="0" fontId="162" fillId="0" borderId="0"/>
    <xf numFmtId="0" fontId="169" fillId="0" borderId="0"/>
    <xf numFmtId="0" fontId="85" fillId="98" borderId="14" applyNumberFormat="0">
      <alignment horizontal="center"/>
    </xf>
    <xf numFmtId="0" fontId="170" fillId="0" borderId="0" applyFill="0" applyBorder="0" applyProtection="0">
      <alignment horizontal="right"/>
    </xf>
    <xf numFmtId="0" fontId="171" fillId="108" borderId="68" applyBorder="0">
      <alignment horizontal="center"/>
    </xf>
    <xf numFmtId="0" fontId="172" fillId="0" borderId="55" applyNumberFormat="0" applyFill="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173" fillId="0" borderId="0" applyNumberFormat="0" applyFill="0" applyBorder="0" applyAlignment="0" applyProtection="0"/>
    <xf numFmtId="0" fontId="28" fillId="88" borderId="0" applyNumberFormat="0" applyBorder="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36" fillId="48" borderId="0" applyNumberFormat="0" applyBorder="0" applyAlignment="0" applyProtection="0"/>
    <xf numFmtId="230" fontId="67" fillId="0" borderId="0" applyFont="0" applyBorder="0" applyAlignment="0"/>
    <xf numFmtId="0" fontId="174" fillId="0" borderId="0" applyNumberFormat="0" applyFill="0" applyBorder="0" applyAlignment="0" applyProtection="0"/>
    <xf numFmtId="0" fontId="175" fillId="0" borderId="0" applyNumberFormat="0" applyFill="0" applyBorder="0" applyAlignment="0" applyProtection="0">
      <alignment vertical="top"/>
      <protection locked="0"/>
    </xf>
    <xf numFmtId="0" fontId="176" fillId="0" borderId="0" applyNumberFormat="0" applyFill="0" applyBorder="0" applyAlignment="0" applyProtection="0">
      <alignment vertical="top"/>
      <protection locked="0"/>
    </xf>
    <xf numFmtId="0" fontId="103" fillId="57" borderId="0" applyNumberFormat="0" applyBorder="0" applyAlignment="0" applyProtection="0"/>
    <xf numFmtId="0" fontId="36" fillId="48" borderId="0" applyNumberFormat="0" applyBorder="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189" fontId="177" fillId="0" borderId="0">
      <alignment vertical="top"/>
    </xf>
    <xf numFmtId="0" fontId="134" fillId="60" borderId="49" applyNumberFormat="0" applyAlignment="0" applyProtection="0"/>
    <xf numFmtId="0" fontId="121" fillId="91" borderId="69"/>
    <xf numFmtId="0" fontId="51" fillId="81" borderId="0" applyNumberFormat="0" applyBorder="0" applyAlignment="0" applyProtection="0"/>
    <xf numFmtId="186" fontId="152" fillId="91" borderId="57" applyNumberFormat="0">
      <alignment vertical="center"/>
      <protection locked="0"/>
    </xf>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34" fillId="60" borderId="49" applyNumberFormat="0" applyAlignment="0" applyProtection="0"/>
    <xf numFmtId="0" fontId="152" fillId="113" borderId="57" applyNumberFormat="0">
      <alignment vertical="center"/>
      <protection locked="0"/>
    </xf>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52" fillId="113" borderId="57" applyNumberFormat="0">
      <alignment vertical="center"/>
      <protection locked="0"/>
    </xf>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79" fillId="49" borderId="59" applyNumberFormat="0" applyAlignment="0">
      <alignment horizontal="left"/>
      <protection locked="0"/>
    </xf>
    <xf numFmtId="0" fontId="178" fillId="60" borderId="49" applyNumberFormat="0" applyAlignment="0" applyProtection="0"/>
    <xf numFmtId="0" fontId="179" fillId="49" borderId="59" applyNumberFormat="0" applyAlignment="0">
      <alignment horizontal="left"/>
      <protection locked="0"/>
    </xf>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9" fillId="49" borderId="59" applyNumberFormat="0" applyAlignment="0">
      <alignment horizontal="left"/>
      <protection locked="0"/>
    </xf>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79" fillId="49" borderId="59" applyNumberFormat="0" applyAlignment="0">
      <alignment horizontal="left"/>
      <protection locked="0"/>
    </xf>
    <xf numFmtId="0" fontId="178" fillId="60" borderId="49" applyNumberFormat="0" applyAlignment="0" applyProtection="0"/>
    <xf numFmtId="0" fontId="179" fillId="49" borderId="59" applyNumberFormat="0" applyAlignment="0">
      <alignment horizontal="left"/>
      <protection locked="0"/>
    </xf>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9" fillId="49" borderId="59" applyNumberFormat="0" applyAlignment="0">
      <alignment horizontal="left"/>
      <protection locked="0"/>
    </xf>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79" fillId="49" borderId="59" applyNumberFormat="0" applyAlignment="0">
      <alignment horizontal="left"/>
      <protection locked="0"/>
    </xf>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9" fillId="49" borderId="59" applyNumberFormat="0" applyAlignment="0">
      <alignment horizontal="left"/>
      <protection locked="0"/>
    </xf>
    <xf numFmtId="0" fontId="179" fillId="49" borderId="59" applyNumberFormat="0" applyAlignment="0">
      <alignment horizontal="left"/>
      <protection locked="0"/>
    </xf>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9" fillId="49" borderId="59" applyNumberFormat="0" applyAlignment="0">
      <alignment horizontal="left"/>
      <protection locked="0"/>
    </xf>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178" fillId="60" borderId="49" applyNumberFormat="0" applyAlignment="0" applyProtection="0"/>
    <xf numFmtId="0" fontId="28" fillId="91" borderId="70" applyNumberFormat="0" applyAlignment="0">
      <protection locked="0"/>
    </xf>
    <xf numFmtId="0" fontId="28" fillId="91" borderId="70" applyNumberFormat="0" applyAlignment="0">
      <protection locked="0"/>
    </xf>
    <xf numFmtId="0" fontId="28" fillId="91" borderId="70" applyNumberFormat="0" applyAlignment="0">
      <protection locked="0"/>
    </xf>
    <xf numFmtId="0" fontId="28" fillId="91" borderId="70" applyNumberFormat="0" applyAlignment="0">
      <protection locked="0"/>
    </xf>
    <xf numFmtId="0" fontId="28" fillId="91" borderId="70" applyNumberFormat="0" applyAlignment="0">
      <protection locked="0"/>
    </xf>
    <xf numFmtId="0" fontId="28" fillId="91" borderId="70" applyNumberFormat="0" applyAlignment="0">
      <protection locked="0"/>
    </xf>
    <xf numFmtId="0" fontId="28" fillId="91" borderId="70" applyNumberFormat="0" applyAlignment="0">
      <protection locked="0"/>
    </xf>
    <xf numFmtId="0" fontId="28" fillId="91" borderId="70" applyNumberFormat="0" applyAlignment="0">
      <protection locked="0"/>
    </xf>
    <xf numFmtId="0" fontId="51" fillId="0" borderId="0" applyNumberFormat="0" applyFill="0" applyBorder="0" applyAlignment="0">
      <protection locked="0"/>
    </xf>
    <xf numFmtId="0" fontId="36" fillId="48" borderId="0" applyNumberFormat="0" applyBorder="0" applyAlignment="0" applyProtection="0"/>
    <xf numFmtId="0" fontId="36" fillId="48" borderId="0" applyNumberFormat="0" applyBorder="0" applyAlignment="0" applyProtection="0"/>
    <xf numFmtId="0" fontId="180" fillId="48" borderId="0" applyNumberFormat="0" applyBorder="0" applyAlignment="0" applyProtection="0"/>
    <xf numFmtId="0" fontId="7" fillId="3" borderId="0" applyNumberFormat="0" applyBorder="0" applyAlignment="0" applyProtection="0"/>
    <xf numFmtId="0" fontId="181" fillId="3" borderId="0" applyNumberFormat="0" applyBorder="0" applyAlignment="0" applyProtection="0"/>
    <xf numFmtId="0" fontId="182" fillId="3" borderId="0" applyNumberFormat="0" applyBorder="0" applyAlignment="0" applyProtection="0"/>
    <xf numFmtId="0" fontId="36" fillId="48" borderId="0" applyNumberFormat="0" applyBorder="0" applyAlignment="0" applyProtection="0"/>
    <xf numFmtId="0" fontId="183" fillId="0" borderId="0" applyNumberFormat="0" applyFill="0" applyBorder="0" applyProtection="0">
      <alignment horizontal="centerContinuous" wrapText="1"/>
    </xf>
    <xf numFmtId="0" fontId="86" fillId="0" borderId="0" applyNumberFormat="0" applyFill="0" applyBorder="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84" fillId="62" borderId="48" applyNumberFormat="0" applyFont="0" applyAlignment="0" applyProtection="0"/>
    <xf numFmtId="0" fontId="184" fillId="62" borderId="48" applyNumberFormat="0" applyFont="0" applyAlignment="0" applyProtection="0"/>
    <xf numFmtId="0" fontId="184" fillId="62" borderId="48" applyNumberFormat="0" applyFont="0" applyAlignment="0" applyProtection="0"/>
    <xf numFmtId="0" fontId="79" fillId="80" borderId="0" applyNumberFormat="0" applyBorder="0" applyAlignment="0" applyProtection="0"/>
    <xf numFmtId="0" fontId="79" fillId="84" borderId="0" applyNumberFormat="0" applyBorder="0" applyAlignment="0" applyProtection="0"/>
    <xf numFmtId="0" fontId="79" fillId="86" borderId="0" applyNumberFormat="0" applyBorder="0" applyAlignment="0" applyProtection="0"/>
    <xf numFmtId="0" fontId="79" fillId="72" borderId="0" applyNumberFormat="0" applyBorder="0" applyAlignment="0" applyProtection="0"/>
    <xf numFmtId="0" fontId="79" fillId="73" borderId="0" applyNumberFormat="0" applyBorder="0" applyAlignment="0" applyProtection="0"/>
    <xf numFmtId="0" fontId="79" fillId="89" borderId="0" applyNumberFormat="0" applyBorder="0" applyAlignment="0" applyProtection="0"/>
    <xf numFmtId="0" fontId="185" fillId="57" borderId="0" applyNumberFormat="0" applyBorder="0" applyAlignment="0" applyProtection="0"/>
    <xf numFmtId="0" fontId="186" fillId="65" borderId="50" applyNumberFormat="0" applyAlignment="0" applyProtection="0"/>
    <xf numFmtId="0" fontId="186" fillId="65" borderId="50" applyNumberFormat="0" applyAlignment="0" applyProtection="0"/>
    <xf numFmtId="0" fontId="186" fillId="65" borderId="50" applyNumberFormat="0" applyAlignment="0" applyProtection="0"/>
    <xf numFmtId="0" fontId="50"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0" fontId="187" fillId="0" borderId="56" applyNumberFormat="0" applyFill="0" applyAlignment="0" applyProtection="0"/>
    <xf numFmtId="43" fontId="25" fillId="0" borderId="0" applyFont="0" applyFill="0" applyBorder="0" applyAlignment="0" applyProtection="0"/>
    <xf numFmtId="43" fontId="25" fillId="0" borderId="0" applyFont="0" applyFill="0" applyBorder="0" applyAlignment="0" applyProtection="0"/>
    <xf numFmtId="172" fontId="25"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2" fontId="25" fillId="0" borderId="0" applyFont="0" applyFill="0" applyBorder="0" applyAlignment="0" applyProtection="0"/>
    <xf numFmtId="43" fontId="18" fillId="0" borderId="0" applyFont="0" applyFill="0" applyBorder="0" applyAlignment="0" applyProtection="0"/>
    <xf numFmtId="0" fontId="109" fillId="0" borderId="55" applyNumberFormat="0" applyFill="0" applyAlignment="0" applyProtection="0"/>
    <xf numFmtId="0" fontId="109" fillId="0" borderId="55" applyNumberFormat="0" applyFill="0" applyAlignment="0" applyProtection="0"/>
    <xf numFmtId="0" fontId="47" fillId="75" borderId="54" applyNumberFormat="0" applyAlignment="0" applyProtection="0"/>
    <xf numFmtId="0" fontId="47" fillId="75" borderId="54" applyNumberFormat="0" applyAlignment="0" applyProtection="0"/>
    <xf numFmtId="0" fontId="47" fillId="75" borderId="54" applyNumberFormat="0" applyAlignment="0" applyProtection="0"/>
    <xf numFmtId="0" fontId="47" fillId="75" borderId="54" applyNumberFormat="0" applyAlignment="0" applyProtection="0"/>
    <xf numFmtId="0" fontId="47" fillId="75" borderId="54" applyNumberFormat="0" applyAlignment="0" applyProtection="0"/>
    <xf numFmtId="0" fontId="47" fillId="75" borderId="54" applyNumberFormat="0" applyAlignment="0" applyProtection="0"/>
    <xf numFmtId="0" fontId="188" fillId="75" borderId="54" applyNumberFormat="0" applyAlignment="0" applyProtection="0"/>
    <xf numFmtId="0" fontId="47" fillId="75" borderId="54" applyNumberFormat="0" applyAlignment="0" applyProtection="0"/>
    <xf numFmtId="38" fontId="189" fillId="0" borderId="0"/>
    <xf numFmtId="38" fontId="190" fillId="0" borderId="0"/>
    <xf numFmtId="38" fontId="191" fillId="0" borderId="0"/>
    <xf numFmtId="38" fontId="192" fillId="0" borderId="0"/>
    <xf numFmtId="0" fontId="53" fillId="0" borderId="0"/>
    <xf numFmtId="0" fontId="53" fillId="0" borderId="0"/>
    <xf numFmtId="0" fontId="28" fillId="0" borderId="0" applyFill="0" applyBorder="0">
      <alignment wrapText="1"/>
    </xf>
    <xf numFmtId="189" fontId="166" fillId="0" borderId="0" applyFont="0">
      <alignment vertical="top"/>
    </xf>
    <xf numFmtId="0" fontId="109" fillId="0" borderId="55" applyNumberFormat="0" applyFill="0" applyAlignment="0" applyProtection="0"/>
    <xf numFmtId="0" fontId="193" fillId="0" borderId="0" applyNumberFormat="0" applyFill="0" applyBorder="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226" fontId="155" fillId="91" borderId="47" applyNumberFormat="0" applyFont="0" applyAlignment="0" applyProtection="0">
      <alignment vertical="center"/>
      <protection locked="0"/>
    </xf>
    <xf numFmtId="0" fontId="176" fillId="0" borderId="0" applyNumberFormat="0" applyFill="0" applyBorder="0" applyAlignment="0" applyProtection="0">
      <alignment vertical="top"/>
      <protection locked="0"/>
    </xf>
    <xf numFmtId="0" fontId="194" fillId="0" borderId="0" applyNumberFormat="0" applyFill="0" applyBorder="0" applyAlignment="0" applyProtection="0"/>
    <xf numFmtId="0" fontId="109" fillId="0" borderId="55" applyNumberFormat="0" applyFill="0" applyAlignment="0" applyProtection="0"/>
    <xf numFmtId="0" fontId="109" fillId="0" borderId="55" applyNumberFormat="0" applyFill="0" applyAlignment="0" applyProtection="0"/>
    <xf numFmtId="0" fontId="195" fillId="0" borderId="55" applyNumberFormat="0" applyFill="0" applyAlignment="0" applyProtection="0"/>
    <xf numFmtId="0" fontId="28" fillId="42" borderId="14" applyNumberFormat="0">
      <alignment horizontal="center"/>
      <protection locked="0"/>
    </xf>
    <xf numFmtId="0" fontId="109" fillId="0" borderId="55" applyNumberFormat="0" applyFill="0" applyAlignment="0" applyProtection="0"/>
    <xf numFmtId="0" fontId="109" fillId="0" borderId="55" applyNumberFormat="0" applyFill="0" applyAlignment="0" applyProtection="0"/>
    <xf numFmtId="0" fontId="109" fillId="0" borderId="55" applyNumberFormat="0" applyFill="0" applyAlignment="0" applyProtection="0"/>
    <xf numFmtId="231" fontId="196" fillId="0" borderId="0" applyFill="0">
      <alignment horizontal="center"/>
    </xf>
    <xf numFmtId="0" fontId="197" fillId="0" borderId="0" applyNumberFormat="0" applyFill="0" applyBorder="0" applyAlignment="0" applyProtection="0"/>
    <xf numFmtId="0" fontId="198" fillId="0" borderId="0">
      <alignment horizontal="centerContinuous"/>
    </xf>
    <xf numFmtId="0" fontId="77" fillId="80" borderId="0" applyNumberFormat="0" applyBorder="0" applyAlignment="0" applyProtection="0"/>
    <xf numFmtId="0" fontId="77" fillId="84" borderId="0" applyNumberFormat="0" applyBorder="0" applyAlignment="0" applyProtection="0"/>
    <xf numFmtId="0" fontId="77" fillId="86"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89" borderId="0" applyNumberFormat="0" applyBorder="0" applyAlignment="0" applyProtection="0"/>
    <xf numFmtId="0" fontId="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232" fontId="155" fillId="0" borderId="0"/>
    <xf numFmtId="0" fontId="200" fillId="0" borderId="0" applyNumberFormat="0" applyFill="0" applyBorder="0" applyAlignment="0" applyProtection="0"/>
    <xf numFmtId="0" fontId="51" fillId="101" borderId="71" applyBorder="0">
      <alignment horizontal="left"/>
    </xf>
    <xf numFmtId="233" fontId="67"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8" fillId="0" borderId="0" applyFont="0" applyFill="0" applyBorder="0" applyAlignment="0" applyProtection="0"/>
    <xf numFmtId="41" fontId="99" fillId="0" borderId="0" applyFont="0" applyFill="0" applyBorder="0" applyAlignment="0" applyProtection="0"/>
    <xf numFmtId="41" fontId="99" fillId="0" borderId="0" applyFont="0" applyFill="0" applyBorder="0" applyAlignment="0" applyProtection="0"/>
    <xf numFmtId="233" fontId="99" fillId="0" borderId="0" applyFont="0" applyFill="0" applyBorder="0" applyAlignment="0" applyProtection="0"/>
    <xf numFmtId="233" fontId="99" fillId="0" borderId="0" applyFont="0" applyFill="0" applyBorder="0" applyAlignment="0" applyProtection="0"/>
    <xf numFmtId="41" fontId="28" fillId="0" borderId="0" applyFont="0" applyFill="0" applyBorder="0" applyAlignment="0" applyProtection="0"/>
    <xf numFmtId="233" fontId="28" fillId="0" borderId="0" applyFont="0" applyFill="0" applyBorder="0" applyAlignment="0" applyProtection="0"/>
    <xf numFmtId="23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233" fontId="28" fillId="0" borderId="0" applyFont="0" applyFill="0" applyBorder="0" applyAlignment="0" applyProtection="0"/>
    <xf numFmtId="233" fontId="28" fillId="0" borderId="0" applyFont="0" applyFill="0" applyBorder="0" applyAlignment="0" applyProtection="0"/>
    <xf numFmtId="41" fontId="28" fillId="0" borderId="0" applyFont="0" applyFill="0" applyBorder="0" applyAlignment="0" applyProtection="0"/>
    <xf numFmtId="233" fontId="28" fillId="0" borderId="0" applyFont="0" applyFill="0" applyBorder="0" applyAlignment="0" applyProtection="0"/>
    <xf numFmtId="23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233" fontId="28" fillId="0" borderId="0" applyFont="0" applyFill="0" applyBorder="0" applyAlignment="0" applyProtection="0"/>
    <xf numFmtId="233" fontId="28" fillId="0" borderId="0" applyFont="0" applyFill="0" applyBorder="0" applyAlignment="0" applyProtection="0"/>
    <xf numFmtId="41" fontId="28" fillId="0" borderId="0" applyFont="0" applyFill="0" applyBorder="0" applyAlignment="0" applyProtection="0"/>
    <xf numFmtId="233" fontId="28" fillId="0" borderId="0" applyFont="0" applyFill="0" applyBorder="0" applyAlignment="0" applyProtection="0"/>
    <xf numFmtId="233" fontId="28" fillId="0" borderId="0" applyFont="0" applyFill="0" applyBorder="0" applyAlignment="0" applyProtection="0"/>
    <xf numFmtId="41" fontId="25" fillId="0" borderId="0" applyFont="0" applyFill="0" applyBorder="0" applyAlignment="0" applyProtection="0"/>
    <xf numFmtId="41" fontId="99" fillId="0" borderId="0" applyFont="0" applyFill="0" applyBorder="0" applyAlignment="0" applyProtection="0"/>
    <xf numFmtId="41" fontId="99" fillId="0" borderId="0" applyFont="0" applyFill="0" applyBorder="0" applyAlignment="0" applyProtection="0"/>
    <xf numFmtId="233" fontId="99" fillId="0" borderId="0" applyFont="0" applyFill="0" applyBorder="0" applyAlignment="0" applyProtection="0"/>
    <xf numFmtId="233" fontId="99"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233" fontId="25" fillId="0" borderId="0" applyFont="0" applyFill="0" applyBorder="0" applyAlignment="0" applyProtection="0"/>
    <xf numFmtId="41" fontId="25" fillId="0" borderId="0" applyFont="0" applyFill="0" applyBorder="0" applyAlignment="0" applyProtection="0"/>
    <xf numFmtId="41" fontId="28"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8"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23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233" fontId="25"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43" fontId="25"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2"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2"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2" fontId="25"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2" fontId="25"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172" fontId="3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96" fontId="28" fillId="0" borderId="0" applyFont="0" applyFill="0" applyBorder="0" applyAlignment="0" applyProtection="0"/>
    <xf numFmtId="172"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96" fontId="28" fillId="0" borderId="0" applyFont="0" applyFill="0" applyBorder="0" applyAlignment="0" applyProtection="0"/>
    <xf numFmtId="172" fontId="99"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96" fontId="28" fillId="0" borderId="0" applyFont="0" applyFill="0" applyBorder="0" applyAlignment="0" applyProtection="0"/>
    <xf numFmtId="172" fontId="28" fillId="0" borderId="0" applyFont="0" applyFill="0" applyBorder="0" applyAlignment="0" applyProtection="0"/>
    <xf numFmtId="196" fontId="28" fillId="0" borderId="0" applyFont="0" applyFill="0" applyBorder="0" applyAlignment="0" applyProtection="0"/>
    <xf numFmtId="196"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65" fontId="44" fillId="0" borderId="0" applyFont="0" applyFill="0" applyBorder="0" applyAlignment="0" applyProtection="0"/>
    <xf numFmtId="196" fontId="28" fillId="0" borderId="0" applyFont="0" applyFill="0" applyBorder="0" applyAlignment="0" applyProtection="0"/>
    <xf numFmtId="172" fontId="28" fillId="0" borderId="0" applyFont="0" applyFill="0" applyBorder="0" applyAlignment="0" applyProtection="0"/>
    <xf numFmtId="165" fontId="129" fillId="0" borderId="0" applyFont="0" applyFill="0" applyBorder="0" applyAlignment="0" applyProtection="0"/>
    <xf numFmtId="196" fontId="28" fillId="0" borderId="0" applyFont="0" applyFill="0" applyBorder="0" applyAlignment="0" applyProtection="0"/>
    <xf numFmtId="165" fontId="70"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196" fontId="28" fillId="0" borderId="0" applyFont="0" applyFill="0" applyBorder="0" applyAlignment="0" applyProtection="0"/>
    <xf numFmtId="165" fontId="28"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165" fontId="28" fillId="0" borderId="0" applyFont="0" applyFill="0" applyBorder="0" applyAlignment="0" applyProtection="0"/>
    <xf numFmtId="172" fontId="1" fillId="0" borderId="0" applyFont="0" applyFill="0" applyBorder="0" applyAlignment="0" applyProtection="0"/>
    <xf numFmtId="196" fontId="28" fillId="0" borderId="0" applyFont="0" applyFill="0" applyBorder="0" applyAlignment="0" applyProtection="0"/>
    <xf numFmtId="165" fontId="1" fillId="0" borderId="0" applyFont="0" applyFill="0" applyBorder="0" applyAlignment="0" applyProtection="0"/>
    <xf numFmtId="196" fontId="28" fillId="0" borderId="0" applyFont="0" applyFill="0" applyBorder="0" applyAlignment="0" applyProtection="0"/>
    <xf numFmtId="37" fontId="28" fillId="0" borderId="0" applyFill="0" applyBorder="0" applyAlignment="0"/>
    <xf numFmtId="234" fontId="28" fillId="0" borderId="0" applyFont="0" applyFill="0" applyBorder="0" applyAlignment="0" applyProtection="0"/>
    <xf numFmtId="0" fontId="93" fillId="0" borderId="0">
      <protection locked="0"/>
    </xf>
    <xf numFmtId="3" fontId="60" fillId="0" borderId="0">
      <alignment horizontal="center"/>
    </xf>
    <xf numFmtId="3" fontId="60" fillId="0" borderId="0">
      <alignment horizontal="center"/>
    </xf>
    <xf numFmtId="3" fontId="201" fillId="0" borderId="0">
      <alignment horizontal="center"/>
    </xf>
    <xf numFmtId="0" fontId="202" fillId="0" borderId="0" applyFont="0" applyFill="0" applyBorder="0" applyAlignment="0" applyProtection="0"/>
    <xf numFmtId="2" fontId="203" fillId="0" borderId="72" applyFont="0" applyFill="0" applyBorder="0" applyAlignment="0"/>
    <xf numFmtId="235" fontId="155" fillId="0" borderId="0" applyFont="0" applyFill="0" applyBorder="0" applyAlignment="0" applyProtection="0"/>
    <xf numFmtId="0" fontId="204" fillId="0" borderId="0"/>
    <xf numFmtId="0" fontId="205" fillId="0" borderId="0" applyNumberFormat="0" applyFill="0">
      <alignment vertical="center"/>
    </xf>
    <xf numFmtId="208" fontId="28" fillId="0" borderId="0" applyFont="0" applyFill="0" applyBorder="0" applyAlignment="0" applyProtection="0"/>
    <xf numFmtId="236" fontId="28" fillId="0" borderId="0" applyFont="0" applyFill="0" applyBorder="0" applyAlignment="0" applyProtection="0"/>
    <xf numFmtId="164" fontId="28" fillId="0" borderId="0" applyFont="0" applyFill="0" applyBorder="0" applyAlignment="0" applyProtection="0"/>
    <xf numFmtId="208" fontId="28" fillId="0" borderId="0" applyFont="0" applyFill="0" applyBorder="0" applyAlignment="0" applyProtection="0"/>
    <xf numFmtId="164" fontId="70" fillId="0" borderId="0" applyFont="0" applyFill="0" applyBorder="0" applyAlignment="0" applyProtection="0"/>
    <xf numFmtId="17" fontId="51" fillId="95" borderId="73" applyFill="0" applyBorder="0" applyProtection="0">
      <alignment horizontal="center"/>
    </xf>
    <xf numFmtId="237" fontId="51" fillId="108" borderId="0" applyFill="0" applyBorder="0" applyProtection="0">
      <alignment horizontal="center"/>
    </xf>
    <xf numFmtId="0" fontId="28" fillId="0" borderId="0"/>
    <xf numFmtId="0" fontId="206" fillId="1" borderId="0"/>
    <xf numFmtId="0" fontId="125" fillId="0" borderId="0" applyFont="0" applyFill="0" applyBorder="0" applyProtection="0">
      <alignment horizontal="right"/>
    </xf>
    <xf numFmtId="0" fontId="68" fillId="0" borderId="44" applyNumberFormat="0" applyFill="0" applyAlignment="0" applyProtection="0"/>
    <xf numFmtId="0" fontId="69" fillId="0" borderId="45" applyNumberFormat="0" applyFill="0" applyAlignment="0" applyProtection="0"/>
    <xf numFmtId="0" fontId="76" fillId="0" borderId="46" applyNumberFormat="0" applyFill="0" applyAlignment="0" applyProtection="0"/>
    <xf numFmtId="0" fontId="76" fillId="0" borderId="0" applyNumberFormat="0" applyFill="0" applyBorder="0" applyAlignment="0" applyProtection="0"/>
    <xf numFmtId="0" fontId="68" fillId="0" borderId="44" applyNumberFormat="0" applyFill="0" applyAlignment="0" applyProtection="0"/>
    <xf numFmtId="0" fontId="68" fillId="0" borderId="44" applyNumberFormat="0" applyFill="0" applyAlignment="0" applyProtection="0"/>
    <xf numFmtId="0" fontId="69" fillId="0" borderId="45" applyNumberFormat="0" applyFill="0" applyAlignment="0" applyProtection="0"/>
    <xf numFmtId="0" fontId="69" fillId="0" borderId="45" applyNumberFormat="0" applyFill="0" applyAlignment="0" applyProtection="0"/>
    <xf numFmtId="0" fontId="76" fillId="0" borderId="46" applyNumberFormat="0" applyFill="0" applyAlignment="0" applyProtection="0"/>
    <xf numFmtId="0" fontId="76" fillId="0" borderId="46"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52" fillId="95" borderId="74" applyNumberFormat="0" applyFont="0" applyFill="0" applyAlignment="0" applyProtection="0">
      <alignment vertical="center"/>
      <protection locked="0"/>
    </xf>
    <xf numFmtId="0" fontId="207" fillId="0" borderId="0" applyNumberFormat="0" applyBorder="0">
      <alignment horizontal="left" vertical="top"/>
    </xf>
    <xf numFmtId="0" fontId="152" fillId="95" borderId="74" applyNumberFormat="0" applyFont="0" applyFill="0" applyAlignment="0" applyProtection="0">
      <alignment vertical="center"/>
      <protection locked="0"/>
    </xf>
    <xf numFmtId="0" fontId="184" fillId="0" borderId="0"/>
    <xf numFmtId="0" fontId="208" fillId="0" borderId="0" applyNumberFormat="0" applyFill="0" applyBorder="0" applyAlignment="0" applyProtection="0"/>
    <xf numFmtId="40" fontId="99" fillId="0" borderId="0" applyFont="0" applyFill="0" applyBorder="0" applyAlignment="0">
      <alignment horizontal="centerContinuous"/>
    </xf>
    <xf numFmtId="0" fontId="209" fillId="70" borderId="0" applyNumberFormat="0" applyBorder="0" applyAlignment="0" applyProtection="0"/>
    <xf numFmtId="0" fontId="209" fillId="70" borderId="0" applyNumberFormat="0" applyBorder="0" applyAlignment="0" applyProtection="0"/>
    <xf numFmtId="0" fontId="209" fillId="70" borderId="0" applyNumberFormat="0" applyBorder="0" applyAlignment="0" applyProtection="0"/>
    <xf numFmtId="0" fontId="210" fillId="70" borderId="0" applyNumberFormat="0" applyBorder="0" applyAlignment="0" applyProtection="0"/>
    <xf numFmtId="0" fontId="209" fillId="70" borderId="0" applyNumberFormat="0" applyBorder="0" applyAlignment="0" applyProtection="0"/>
    <xf numFmtId="0" fontId="211" fillId="70" borderId="0" applyNumberFormat="0" applyBorder="0" applyAlignment="0" applyProtection="0"/>
    <xf numFmtId="0" fontId="211" fillId="70" borderId="0" applyNumberFormat="0" applyBorder="0" applyAlignment="0" applyProtection="0"/>
    <xf numFmtId="0" fontId="209" fillId="70" borderId="0" applyNumberFormat="0" applyBorder="0" applyAlignment="0" applyProtection="0"/>
    <xf numFmtId="0" fontId="209" fillId="70" borderId="0" applyNumberFormat="0" applyBorder="0" applyAlignment="0" applyProtection="0"/>
    <xf numFmtId="0" fontId="209" fillId="70" borderId="0" applyNumberFormat="0" applyBorder="0" applyAlignment="0" applyProtection="0"/>
    <xf numFmtId="0" fontId="209" fillId="70" borderId="0" applyNumberFormat="0" applyBorder="0" applyAlignment="0" applyProtection="0"/>
    <xf numFmtId="0" fontId="209" fillId="70" borderId="0" applyNumberFormat="0" applyBorder="0" applyAlignment="0" applyProtection="0"/>
    <xf numFmtId="0" fontId="209" fillId="70" borderId="0" applyNumberFormat="0" applyBorder="0" applyAlignment="0" applyProtection="0"/>
    <xf numFmtId="0" fontId="209" fillId="70" borderId="0" applyNumberFormat="0" applyBorder="0" applyAlignment="0" applyProtection="0"/>
    <xf numFmtId="0" fontId="212" fillId="70" borderId="0" applyNumberFormat="0" applyBorder="0" applyAlignment="0" applyProtection="0"/>
    <xf numFmtId="0" fontId="8" fillId="4" borderId="0" applyNumberFormat="0" applyBorder="0" applyAlignment="0" applyProtection="0"/>
    <xf numFmtId="0" fontId="213" fillId="4" borderId="0" applyNumberFormat="0" applyBorder="0" applyAlignment="0" applyProtection="0"/>
    <xf numFmtId="0" fontId="209" fillId="70" borderId="0" applyNumberFormat="0" applyBorder="0" applyAlignment="0" applyProtection="0"/>
    <xf numFmtId="0" fontId="99" fillId="0" borderId="0"/>
    <xf numFmtId="0" fontId="99" fillId="0" borderId="0"/>
    <xf numFmtId="0" fontId="99" fillId="0" borderId="0"/>
    <xf numFmtId="0" fontId="99" fillId="0" borderId="0"/>
    <xf numFmtId="0" fontId="201" fillId="0" borderId="0"/>
    <xf numFmtId="196" fontId="67" fillId="0" borderId="0"/>
    <xf numFmtId="0" fontId="51" fillId="0" borderId="0" applyNumberFormat="0" applyFill="0" applyBorder="0" applyProtection="0"/>
    <xf numFmtId="0" fontId="28" fillId="0" borderId="0"/>
    <xf numFmtId="0" fontId="28" fillId="0" borderId="0"/>
    <xf numFmtId="0" fontId="28" fillId="0" borderId="0"/>
    <xf numFmtId="0" fontId="28" fillId="0" borderId="0" applyNumberFormat="0" applyFont="0" applyFill="0" applyBorder="0" applyAlignment="0" applyProtection="0"/>
    <xf numFmtId="0" fontId="28" fillId="0" borderId="0"/>
    <xf numFmtId="0" fontId="28" fillId="0" borderId="0"/>
    <xf numFmtId="0" fontId="37"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70" fillId="0" borderId="0"/>
    <xf numFmtId="0" fontId="25" fillId="0" borderId="0"/>
    <xf numFmtId="0" fontId="25" fillId="0" borderId="0"/>
    <xf numFmtId="0" fontId="37" fillId="0" borderId="0"/>
    <xf numFmtId="0" fontId="28" fillId="0" borderId="0" applyNumberFormat="0" applyFont="0" applyFill="0" applyBorder="0" applyAlignment="0" applyProtection="0"/>
    <xf numFmtId="0" fontId="28" fillId="0" borderId="0"/>
    <xf numFmtId="0" fontId="28" fillId="0" borderId="0"/>
    <xf numFmtId="0" fontId="70" fillId="0" borderId="0"/>
    <xf numFmtId="0" fontId="70" fillId="0" borderId="0"/>
    <xf numFmtId="0" fontId="37" fillId="0" borderId="0"/>
    <xf numFmtId="0" fontId="37" fillId="0" borderId="0"/>
    <xf numFmtId="0" fontId="25" fillId="0" borderId="0"/>
    <xf numFmtId="0" fontId="28" fillId="0" borderId="0"/>
    <xf numFmtId="0" fontId="37" fillId="0" borderId="0"/>
    <xf numFmtId="0" fontId="37" fillId="0" borderId="0"/>
    <xf numFmtId="0" fontId="25" fillId="0" borderId="0"/>
    <xf numFmtId="0" fontId="25" fillId="0" borderId="0"/>
    <xf numFmtId="0" fontId="3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4" fillId="0" borderId="0"/>
    <xf numFmtId="0" fontId="28" fillId="0" borderId="0"/>
    <xf numFmtId="0" fontId="215" fillId="0" borderId="0"/>
    <xf numFmtId="0" fontId="37" fillId="0" borderId="0"/>
    <xf numFmtId="0" fontId="215" fillId="0" borderId="0"/>
    <xf numFmtId="0" fontId="37" fillId="0" borderId="0"/>
    <xf numFmtId="0" fontId="37" fillId="0" borderId="0"/>
    <xf numFmtId="0" fontId="1" fillId="0" borderId="0"/>
    <xf numFmtId="0" fontId="37" fillId="0" borderId="0"/>
    <xf numFmtId="0" fontId="215" fillId="0" borderId="0"/>
    <xf numFmtId="0" fontId="215" fillId="0" borderId="0"/>
    <xf numFmtId="0" fontId="1" fillId="0" borderId="0"/>
    <xf numFmtId="0" fontId="1" fillId="0" borderId="0"/>
    <xf numFmtId="0" fontId="1" fillId="0" borderId="0"/>
    <xf numFmtId="0" fontId="215" fillId="0" borderId="0"/>
    <xf numFmtId="0" fontId="1" fillId="0" borderId="0"/>
    <xf numFmtId="0" fontId="1" fillId="0" borderId="0"/>
    <xf numFmtId="0" fontId="28" fillId="0" borderId="0"/>
    <xf numFmtId="0" fontId="184" fillId="0" borderId="0"/>
    <xf numFmtId="0" fontId="28" fillId="0" borderId="0"/>
    <xf numFmtId="0" fontId="21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99" fillId="0" borderId="0"/>
    <xf numFmtId="0" fontId="28" fillId="0" borderId="0"/>
    <xf numFmtId="0" fontId="37" fillId="0" borderId="0"/>
    <xf numFmtId="0" fontId="99" fillId="0" borderId="0"/>
    <xf numFmtId="0" fontId="99" fillId="0" borderId="0"/>
    <xf numFmtId="0" fontId="217"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7" fillId="0" borderId="0"/>
    <xf numFmtId="0" fontId="37" fillId="0" borderId="0"/>
    <xf numFmtId="0" fontId="37" fillId="0" borderId="0"/>
    <xf numFmtId="0" fontId="37" fillId="0" borderId="0"/>
    <xf numFmtId="0" fontId="28" fillId="0" borderId="0"/>
    <xf numFmtId="0" fontId="37" fillId="0" borderId="0"/>
    <xf numFmtId="0" fontId="99" fillId="0" borderId="0"/>
    <xf numFmtId="0" fontId="99" fillId="0" borderId="0"/>
    <xf numFmtId="0" fontId="28" fillId="0" borderId="0"/>
    <xf numFmtId="0" fontId="99" fillId="0" borderId="0"/>
    <xf numFmtId="0" fontId="1" fillId="0" borderId="0"/>
    <xf numFmtId="0" fontId="1" fillId="0" borderId="0"/>
    <xf numFmtId="0" fontId="1" fillId="0" borderId="0"/>
    <xf numFmtId="0" fontId="215" fillId="0" borderId="0"/>
    <xf numFmtId="0" fontId="99" fillId="0" borderId="0"/>
    <xf numFmtId="0" fontId="1" fillId="0" borderId="0"/>
    <xf numFmtId="0" fontId="1" fillId="0" borderId="0"/>
    <xf numFmtId="0" fontId="1" fillId="0" borderId="0"/>
    <xf numFmtId="0" fontId="215" fillId="0" borderId="0"/>
    <xf numFmtId="0" fontId="1" fillId="0" borderId="0"/>
    <xf numFmtId="0" fontId="1" fillId="0" borderId="0"/>
    <xf numFmtId="0" fontId="1" fillId="0" borderId="0"/>
    <xf numFmtId="0" fontId="28" fillId="0" borderId="0"/>
    <xf numFmtId="0" fontId="28" fillId="0" borderId="0"/>
    <xf numFmtId="0" fontId="28" fillId="0" borderId="0"/>
    <xf numFmtId="0" fontId="216" fillId="0" borderId="0"/>
    <xf numFmtId="0" fontId="216" fillId="0" borderId="0"/>
    <xf numFmtId="0" fontId="28" fillId="0" borderId="0"/>
    <xf numFmtId="0" fontId="216" fillId="0" borderId="0"/>
    <xf numFmtId="0" fontId="54" fillId="0" borderId="0"/>
    <xf numFmtId="0" fontId="216" fillId="0" borderId="0"/>
    <xf numFmtId="0" fontId="99" fillId="0" borderId="0"/>
    <xf numFmtId="0" fontId="37" fillId="0" borderId="0"/>
    <xf numFmtId="0" fontId="37" fillId="0" borderId="0"/>
    <xf numFmtId="0" fontId="215" fillId="0" borderId="0"/>
    <xf numFmtId="0" fontId="1" fillId="0" borderId="0"/>
    <xf numFmtId="0" fontId="18" fillId="0" borderId="0"/>
    <xf numFmtId="0" fontId="215" fillId="0" borderId="0"/>
    <xf numFmtId="0" fontId="1" fillId="0" borderId="0"/>
    <xf numFmtId="0" fontId="1" fillId="0" borderId="0"/>
    <xf numFmtId="0" fontId="18" fillId="0" borderId="0"/>
    <xf numFmtId="0" fontId="215" fillId="0" borderId="0"/>
    <xf numFmtId="0" fontId="1" fillId="0" borderId="0"/>
    <xf numFmtId="0" fontId="1" fillId="0" borderId="0"/>
    <xf numFmtId="0" fontId="18" fillId="0" borderId="0"/>
    <xf numFmtId="0" fontId="215" fillId="0" borderId="0"/>
    <xf numFmtId="0" fontId="1" fillId="0" borderId="0"/>
    <xf numFmtId="0" fontId="1" fillId="0" borderId="0"/>
    <xf numFmtId="0" fontId="18" fillId="0" borderId="0"/>
    <xf numFmtId="0" fontId="215" fillId="0" borderId="0"/>
    <xf numFmtId="0" fontId="1" fillId="0" borderId="0"/>
    <xf numFmtId="0" fontId="1" fillId="0" borderId="0"/>
    <xf numFmtId="0" fontId="18" fillId="0" borderId="0"/>
    <xf numFmtId="0" fontId="126" fillId="0" borderId="0"/>
    <xf numFmtId="0" fontId="18" fillId="0" borderId="0"/>
    <xf numFmtId="0" fontId="126"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8" fillId="0" borderId="0"/>
    <xf numFmtId="0" fontId="3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99" fillId="0" borderId="0"/>
    <xf numFmtId="0" fontId="99" fillId="0" borderId="0"/>
    <xf numFmtId="0" fontId="28" fillId="0" borderId="0"/>
    <xf numFmtId="0" fontId="28" fillId="0" borderId="0"/>
    <xf numFmtId="0" fontId="99" fillId="0" borderId="0"/>
    <xf numFmtId="0" fontId="1" fillId="0" borderId="0"/>
    <xf numFmtId="0" fontId="28" fillId="0" borderId="0"/>
    <xf numFmtId="0" fontId="28" fillId="0" borderId="0"/>
    <xf numFmtId="0" fontId="1" fillId="0" borderId="0"/>
    <xf numFmtId="0" fontId="44" fillId="0" borderId="0"/>
    <xf numFmtId="0" fontId="99" fillId="0" borderId="0"/>
    <xf numFmtId="0" fontId="44" fillId="0" borderId="0"/>
    <xf numFmtId="0" fontId="99" fillId="0" borderId="0"/>
    <xf numFmtId="0" fontId="126" fillId="0" borderId="0"/>
    <xf numFmtId="0" fontId="18" fillId="0" borderId="0"/>
    <xf numFmtId="0" fontId="28" fillId="0" borderId="0"/>
    <xf numFmtId="0" fontId="28" fillId="0" borderId="0"/>
    <xf numFmtId="0" fontId="28" fillId="0" borderId="0"/>
    <xf numFmtId="0" fontId="28" fillId="0" borderId="0"/>
    <xf numFmtId="0" fontId="37" fillId="0" borderId="0"/>
    <xf numFmtId="0" fontId="18" fillId="0" borderId="0"/>
    <xf numFmtId="0" fontId="1" fillId="0" borderId="0"/>
    <xf numFmtId="0" fontId="1" fillId="0" borderId="0"/>
    <xf numFmtId="0" fontId="1" fillId="0" borderId="0"/>
    <xf numFmtId="0" fontId="18" fillId="0" borderId="0"/>
    <xf numFmtId="0" fontId="126"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54" fillId="0" borderId="0"/>
    <xf numFmtId="0" fontId="18" fillId="0" borderId="0"/>
    <xf numFmtId="0" fontId="126" fillId="0" borderId="0"/>
    <xf numFmtId="0" fontId="18" fillId="0" borderId="0"/>
    <xf numFmtId="0" fontId="215" fillId="0" borderId="0"/>
    <xf numFmtId="0" fontId="18" fillId="0" borderId="0"/>
    <xf numFmtId="0" fontId="215" fillId="0" borderId="0"/>
    <xf numFmtId="0" fontId="18" fillId="0" borderId="0"/>
    <xf numFmtId="0" fontId="215" fillId="0" borderId="0"/>
    <xf numFmtId="0" fontId="28" fillId="0" borderId="0"/>
    <xf numFmtId="0" fontId="34" fillId="0" borderId="0"/>
    <xf numFmtId="0" fontId="28" fillId="0" borderId="0"/>
    <xf numFmtId="0" fontId="37" fillId="0" borderId="0"/>
    <xf numFmtId="0" fontId="37" fillId="0" borderId="0"/>
    <xf numFmtId="0" fontId="28" fillId="0" borderId="0"/>
    <xf numFmtId="0" fontId="28" fillId="0" borderId="0"/>
    <xf numFmtId="0" fontId="99" fillId="0" borderId="0"/>
    <xf numFmtId="0" fontId="128" fillId="0" borderId="0"/>
    <xf numFmtId="0" fontId="28" fillId="0" borderId="0"/>
    <xf numFmtId="0" fontId="1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5" fillId="0" borderId="0"/>
    <xf numFmtId="0" fontId="1" fillId="0" borderId="0"/>
    <xf numFmtId="0" fontId="18" fillId="0" borderId="0"/>
    <xf numFmtId="0" fontId="215" fillId="0" borderId="0"/>
    <xf numFmtId="0" fontId="18" fillId="0" borderId="0"/>
    <xf numFmtId="0" fontId="215" fillId="0" borderId="0"/>
    <xf numFmtId="0" fontId="18" fillId="0" borderId="0"/>
    <xf numFmtId="0" fontId="215" fillId="0" borderId="0"/>
    <xf numFmtId="0" fontId="18" fillId="0" borderId="0"/>
    <xf numFmtId="0" fontId="215" fillId="0" borderId="0"/>
    <xf numFmtId="0" fontId="18" fillId="0" borderId="0"/>
    <xf numFmtId="0" fontId="215" fillId="0" borderId="0"/>
    <xf numFmtId="0" fontId="18" fillId="0" borderId="0"/>
    <xf numFmtId="0" fontId="215" fillId="0" borderId="0"/>
    <xf numFmtId="0" fontId="18" fillId="0" borderId="0"/>
    <xf numFmtId="0" fontId="215" fillId="0" borderId="0"/>
    <xf numFmtId="0" fontId="18" fillId="0" borderId="0"/>
    <xf numFmtId="0" fontId="215" fillId="0" borderId="0"/>
    <xf numFmtId="0" fontId="1" fillId="0" borderId="0"/>
    <xf numFmtId="0" fontId="1" fillId="0" borderId="0"/>
    <xf numFmtId="0" fontId="1" fillId="0" borderId="0"/>
    <xf numFmtId="0" fontId="2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34" fillId="0" borderId="0"/>
    <xf numFmtId="0" fontId="1" fillId="0" borderId="0"/>
    <xf numFmtId="0" fontId="1" fillId="0" borderId="0"/>
    <xf numFmtId="0" fontId="25" fillId="0" borderId="0"/>
    <xf numFmtId="0" fontId="25" fillId="0" borderId="0"/>
    <xf numFmtId="0" fontId="25" fillId="0" borderId="0"/>
    <xf numFmtId="0" fontId="28" fillId="0" borderId="0"/>
    <xf numFmtId="0" fontId="28" fillId="0" borderId="0"/>
    <xf numFmtId="0" fontId="37" fillId="0" borderId="0"/>
    <xf numFmtId="0" fontId="28" fillId="0" borderId="0"/>
    <xf numFmtId="0" fontId="25" fillId="0" borderId="0"/>
    <xf numFmtId="0" fontId="215" fillId="0" borderId="0"/>
    <xf numFmtId="0" fontId="215" fillId="0" borderId="0"/>
    <xf numFmtId="0" fontId="28" fillId="0" borderId="0"/>
    <xf numFmtId="0" fontId="215" fillId="0" borderId="0"/>
    <xf numFmtId="0" fontId="215" fillId="0" borderId="0"/>
    <xf numFmtId="0" fontId="28" fillId="0" borderId="0"/>
    <xf numFmtId="0" fontId="215" fillId="0" borderId="0"/>
    <xf numFmtId="0" fontId="215" fillId="0" borderId="0"/>
    <xf numFmtId="0" fontId="28" fillId="0" borderId="0"/>
    <xf numFmtId="0" fontId="215" fillId="0" borderId="0"/>
    <xf numFmtId="0" fontId="215" fillId="0" borderId="0"/>
    <xf numFmtId="0" fontId="28" fillId="0" borderId="0"/>
    <xf numFmtId="0" fontId="215" fillId="0" borderId="0"/>
    <xf numFmtId="0" fontId="215" fillId="0" borderId="0"/>
    <xf numFmtId="0" fontId="28" fillId="0" borderId="0"/>
    <xf numFmtId="0" fontId="54" fillId="0" borderId="0"/>
    <xf numFmtId="0" fontId="54" fillId="0" borderId="0"/>
    <xf numFmtId="0" fontId="28" fillId="0" borderId="0"/>
    <xf numFmtId="0" fontId="54" fillId="0" borderId="0"/>
    <xf numFmtId="0" fontId="54" fillId="0" borderId="0"/>
    <xf numFmtId="0" fontId="28" fillId="0" borderId="0"/>
    <xf numFmtId="0" fontId="37" fillId="0" borderId="0"/>
    <xf numFmtId="0" fontId="28" fillId="0" borderId="0"/>
    <xf numFmtId="0" fontId="37" fillId="0" borderId="0"/>
    <xf numFmtId="0" fontId="28" fillId="0" borderId="0"/>
    <xf numFmtId="0" fontId="1" fillId="0" borderId="0"/>
    <xf numFmtId="0" fontId="37" fillId="0" borderId="0"/>
    <xf numFmtId="0" fontId="28" fillId="0" borderId="0"/>
    <xf numFmtId="0" fontId="1" fillId="0" borderId="0"/>
    <xf numFmtId="0" fontId="1" fillId="0" borderId="0"/>
    <xf numFmtId="0" fontId="34" fillId="0" borderId="0"/>
    <xf numFmtId="0" fontId="28" fillId="0" borderId="0"/>
    <xf numFmtId="0" fontId="28" fillId="0" borderId="0"/>
    <xf numFmtId="0" fontId="126" fillId="0" borderId="0"/>
    <xf numFmtId="0" fontId="37" fillId="0" borderId="0"/>
    <xf numFmtId="0" fontId="126" fillId="0" borderId="0"/>
    <xf numFmtId="0" fontId="28" fillId="0" borderId="0"/>
    <xf numFmtId="0" fontId="28" fillId="0" borderId="0"/>
    <xf numFmtId="0" fontId="1" fillId="0" borderId="0"/>
    <xf numFmtId="0" fontId="1" fillId="0" borderId="0"/>
    <xf numFmtId="0" fontId="28" fillId="0" borderId="0"/>
    <xf numFmtId="0" fontId="37" fillId="0" borderId="0"/>
    <xf numFmtId="0" fontId="28" fillId="0" borderId="0"/>
    <xf numFmtId="0" fontId="1" fillId="0" borderId="0"/>
    <xf numFmtId="0" fontId="37" fillId="0" borderId="0"/>
    <xf numFmtId="0" fontId="1" fillId="0" borderId="0"/>
    <xf numFmtId="0" fontId="37" fillId="0" borderId="0"/>
    <xf numFmtId="0" fontId="1" fillId="0" borderId="0"/>
    <xf numFmtId="0" fontId="28" fillId="0" borderId="0"/>
    <xf numFmtId="0" fontId="1" fillId="0" borderId="0"/>
    <xf numFmtId="0" fontId="28" fillId="0" borderId="0"/>
    <xf numFmtId="0" fontId="1" fillId="0" borderId="0"/>
    <xf numFmtId="0" fontId="28" fillId="0" borderId="0"/>
    <xf numFmtId="0" fontId="1" fillId="0" borderId="0"/>
    <xf numFmtId="0" fontId="28" fillId="0" borderId="0"/>
    <xf numFmtId="0" fontId="1" fillId="0" borderId="0"/>
    <xf numFmtId="0" fontId="28" fillId="0" borderId="0"/>
    <xf numFmtId="0" fontId="1" fillId="0" borderId="0"/>
    <xf numFmtId="0" fontId="28" fillId="0" borderId="0"/>
    <xf numFmtId="0" fontId="1" fillId="0" borderId="0"/>
    <xf numFmtId="0" fontId="28" fillId="0" borderId="0"/>
    <xf numFmtId="0" fontId="1" fillId="0" borderId="0"/>
    <xf numFmtId="0" fontId="28" fillId="0" borderId="0"/>
    <xf numFmtId="0" fontId="34" fillId="0" borderId="0"/>
    <xf numFmtId="0" fontId="37"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28" fillId="0" borderId="0"/>
    <xf numFmtId="0" fontId="1" fillId="0" borderId="0"/>
    <xf numFmtId="0" fontId="28" fillId="0" borderId="0"/>
    <xf numFmtId="0" fontId="37" fillId="0" borderId="0"/>
    <xf numFmtId="0" fontId="28" fillId="0" borderId="0"/>
    <xf numFmtId="0" fontId="37" fillId="0" borderId="0"/>
    <xf numFmtId="0" fontId="28" fillId="0" borderId="0"/>
    <xf numFmtId="0" fontId="37" fillId="0" borderId="0"/>
    <xf numFmtId="0" fontId="28" fillId="0" borderId="0"/>
    <xf numFmtId="0" fontId="37" fillId="0" borderId="0"/>
    <xf numFmtId="0" fontId="28" fillId="0" borderId="0"/>
    <xf numFmtId="0" fontId="37" fillId="0" borderId="0"/>
    <xf numFmtId="0" fontId="28" fillId="0" borderId="0"/>
    <xf numFmtId="0" fontId="37" fillId="0" borderId="0"/>
    <xf numFmtId="0" fontId="1" fillId="0" borderId="0"/>
    <xf numFmtId="0" fontId="1" fillId="0" borderId="0"/>
    <xf numFmtId="0" fontId="28" fillId="0" borderId="0"/>
    <xf numFmtId="0" fontId="28" fillId="0" borderId="0"/>
    <xf numFmtId="0" fontId="28" fillId="0" borderId="0"/>
    <xf numFmtId="0" fontId="126" fillId="0" borderId="0"/>
    <xf numFmtId="0" fontId="37" fillId="0" borderId="0"/>
    <xf numFmtId="0" fontId="28" fillId="0" borderId="0" applyNumberFormat="0" applyFont="0" applyFill="0" applyBorder="0" applyAlignment="0" applyProtection="0"/>
    <xf numFmtId="0" fontId="28" fillId="0" borderId="0"/>
    <xf numFmtId="0" fontId="126" fillId="0" borderId="0"/>
    <xf numFmtId="0" fontId="1" fillId="0" borderId="0"/>
    <xf numFmtId="0" fontId="28" fillId="0" borderId="0"/>
    <xf numFmtId="0" fontId="1" fillId="0" borderId="0"/>
    <xf numFmtId="0" fontId="28" fillId="0" borderId="0"/>
    <xf numFmtId="0" fontId="1" fillId="0" borderId="0"/>
    <xf numFmtId="0" fontId="28" fillId="0" borderId="0"/>
    <xf numFmtId="0" fontId="1" fillId="0" borderId="0"/>
    <xf numFmtId="0" fontId="28"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37" fillId="0" borderId="0"/>
    <xf numFmtId="0" fontId="1" fillId="0" borderId="0"/>
    <xf numFmtId="0" fontId="1" fillId="0" borderId="0"/>
    <xf numFmtId="0" fontId="1" fillId="0" borderId="0"/>
    <xf numFmtId="0" fontId="28" fillId="0" borderId="0" applyNumberFormat="0" applyFont="0" applyFill="0" applyBorder="0" applyAlignment="0" applyProtection="0"/>
    <xf numFmtId="0" fontId="1" fillId="0" borderId="0"/>
    <xf numFmtId="0" fontId="1" fillId="0" borderId="0"/>
    <xf numFmtId="0" fontId="1" fillId="0" borderId="0"/>
    <xf numFmtId="0" fontId="99" fillId="0" borderId="0"/>
    <xf numFmtId="0" fontId="28" fillId="0" borderId="0"/>
    <xf numFmtId="0" fontId="28" fillId="0" borderId="0"/>
    <xf numFmtId="0" fontId="54" fillId="0" borderId="0"/>
    <xf numFmtId="0" fontId="1" fillId="0" borderId="0"/>
    <xf numFmtId="0" fontId="1" fillId="0" borderId="0"/>
    <xf numFmtId="0" fontId="1" fillId="0" borderId="0"/>
    <xf numFmtId="0" fontId="1" fillId="0" borderId="0"/>
    <xf numFmtId="0" fontId="28" fillId="0" borderId="0"/>
    <xf numFmtId="0" fontId="1" fillId="0" borderId="0"/>
    <xf numFmtId="0" fontId="37" fillId="0" borderId="0"/>
    <xf numFmtId="0" fontId="37" fillId="0" borderId="0"/>
    <xf numFmtId="0" fontId="1" fillId="0" borderId="0"/>
    <xf numFmtId="0" fontId="37" fillId="0" borderId="0"/>
    <xf numFmtId="0" fontId="28" fillId="0" borderId="0"/>
    <xf numFmtId="0" fontId="93" fillId="0" borderId="0"/>
    <xf numFmtId="0" fontId="28" fillId="0" borderId="0" applyNumberFormat="0" applyFill="0" applyBorder="0" applyAlignment="0" applyProtection="0"/>
    <xf numFmtId="0" fontId="37" fillId="0" borderId="0"/>
    <xf numFmtId="0" fontId="28" fillId="0" borderId="0" applyBorder="0"/>
    <xf numFmtId="0" fontId="28" fillId="0" borderId="0" applyBorder="0"/>
    <xf numFmtId="0" fontId="28" fillId="0" borderId="0" applyBorder="0"/>
    <xf numFmtId="0" fontId="28" fillId="0" borderId="0" applyBorder="0"/>
    <xf numFmtId="0" fontId="37" fillId="0" borderId="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xf numFmtId="0" fontId="28" fillId="0" borderId="0"/>
    <xf numFmtId="0" fontId="28" fillId="0" borderId="0"/>
    <xf numFmtId="0" fontId="28" fillId="0" borderId="0"/>
    <xf numFmtId="0" fontId="28" fillId="0" borderId="0"/>
    <xf numFmtId="0" fontId="1" fillId="0" borderId="0"/>
    <xf numFmtId="0" fontId="99" fillId="0" borderId="0"/>
    <xf numFmtId="0" fontId="99" fillId="0" borderId="0"/>
    <xf numFmtId="0" fontId="25" fillId="0" borderId="0"/>
    <xf numFmtId="0" fontId="25"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1" fillId="0" borderId="0"/>
    <xf numFmtId="0" fontId="1" fillId="0" borderId="0"/>
    <xf numFmtId="0" fontId="1" fillId="0" borderId="0"/>
    <xf numFmtId="0" fontId="1"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5" fillId="0" borderId="0"/>
    <xf numFmtId="0" fontId="99" fillId="0" borderId="0"/>
    <xf numFmtId="0" fontId="99"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xf numFmtId="0" fontId="28" fillId="0" borderId="0"/>
    <xf numFmtId="0" fontId="28" fillId="0" borderId="0"/>
    <xf numFmtId="0" fontId="28" fillId="0" borderId="0"/>
    <xf numFmtId="0" fontId="28" fillId="0" borderId="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0" fontId="73" fillId="0" borderId="0"/>
    <xf numFmtId="0" fontId="28" fillId="0" borderId="0"/>
    <xf numFmtId="0" fontId="218" fillId="0" borderId="0"/>
    <xf numFmtId="0" fontId="25" fillId="0" borderId="0"/>
    <xf numFmtId="0" fontId="25" fillId="0" borderId="0"/>
    <xf numFmtId="0" fontId="73" fillId="0" borderId="0"/>
    <xf numFmtId="0" fontId="25" fillId="0" borderId="0"/>
    <xf numFmtId="0" fontId="73" fillId="0" borderId="0"/>
    <xf numFmtId="0" fontId="28" fillId="0" borderId="0"/>
    <xf numFmtId="0" fontId="28" fillId="0" borderId="0" applyBorder="0"/>
    <xf numFmtId="0" fontId="28" fillId="0" borderId="0" applyBorder="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9" fillId="0" borderId="0"/>
    <xf numFmtId="0" fontId="99" fillId="0" borderId="0"/>
    <xf numFmtId="0" fontId="25" fillId="0" borderId="0"/>
    <xf numFmtId="0" fontId="25" fillId="0" borderId="0"/>
    <xf numFmtId="0" fontId="25" fillId="0" borderId="0"/>
    <xf numFmtId="0" fontId="25" fillId="0" borderId="0"/>
    <xf numFmtId="0" fontId="25" fillId="0" borderId="0"/>
    <xf numFmtId="0" fontId="28" fillId="0" borderId="0"/>
    <xf numFmtId="0" fontId="28" fillId="0" borderId="0"/>
    <xf numFmtId="0" fontId="25" fillId="0" borderId="0"/>
    <xf numFmtId="0" fontId="25" fillId="0" borderId="0"/>
    <xf numFmtId="0" fontId="1" fillId="0" borderId="0"/>
    <xf numFmtId="0" fontId="1"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8" fillId="0" borderId="0"/>
    <xf numFmtId="0" fontId="25" fillId="0" borderId="0"/>
    <xf numFmtId="0" fontId="25"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73" fillId="0" borderId="0"/>
    <xf numFmtId="0" fontId="99" fillId="0" borderId="0"/>
    <xf numFmtId="0" fontId="99" fillId="0" borderId="0"/>
    <xf numFmtId="0" fontId="28" fillId="0" borderId="0" applyBorder="0"/>
    <xf numFmtId="0" fontId="28" fillId="0" borderId="0" applyBorder="0"/>
    <xf numFmtId="0" fontId="28" fillId="0" borderId="0" applyBorder="0"/>
    <xf numFmtId="0" fontId="28" fillId="0" borderId="0" applyBorder="0"/>
    <xf numFmtId="0" fontId="99" fillId="0" borderId="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applyBorder="0"/>
    <xf numFmtId="0" fontId="28" fillId="0" borderId="0"/>
    <xf numFmtId="0" fontId="95" fillId="0" borderId="0">
      <alignment horizontal="left"/>
    </xf>
    <xf numFmtId="0" fontId="18" fillId="0" borderId="0"/>
    <xf numFmtId="0" fontId="18" fillId="0" borderId="0"/>
    <xf numFmtId="0" fontId="219" fillId="0" borderId="0"/>
    <xf numFmtId="0" fontId="220" fillId="0" borderId="0"/>
    <xf numFmtId="0" fontId="220" fillId="0" borderId="0"/>
    <xf numFmtId="0" fontId="136" fillId="0" borderId="0"/>
    <xf numFmtId="0" fontId="136" fillId="0" borderId="0"/>
    <xf numFmtId="0" fontId="28" fillId="0" borderId="0"/>
    <xf numFmtId="0" fontId="28" fillId="0" borderId="0"/>
    <xf numFmtId="0" fontId="18" fillId="0" borderId="0"/>
    <xf numFmtId="0" fontId="18" fillId="0" borderId="0"/>
    <xf numFmtId="0" fontId="18" fillId="0" borderId="0"/>
    <xf numFmtId="0" fontId="18" fillId="0" borderId="0"/>
    <xf numFmtId="0" fontId="219" fillId="0" borderId="0"/>
    <xf numFmtId="0" fontId="102" fillId="0" borderId="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99"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28" fillId="62" borderId="48" applyNumberFormat="0" applyFont="0" applyAlignment="0" applyProtection="0"/>
    <xf numFmtId="0" fontId="25" fillId="62" borderId="48" applyNumberFormat="0" applyFont="0" applyAlignment="0" applyProtection="0"/>
    <xf numFmtId="0" fontId="25" fillId="62" borderId="48" applyNumberFormat="0" applyFont="0" applyAlignment="0" applyProtection="0"/>
    <xf numFmtId="0" fontId="25"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217" fontId="221" fillId="0" borderId="0" applyNumberFormat="0" applyFill="0" applyBorder="0" applyAlignment="0" applyProtection="0"/>
    <xf numFmtId="0" fontId="25" fillId="62" borderId="48" applyNumberFormat="0" applyFont="0" applyAlignment="0" applyProtection="0"/>
    <xf numFmtId="0" fontId="25" fillId="62" borderId="48" applyNumberFormat="0" applyFont="0" applyAlignment="0" applyProtection="0"/>
    <xf numFmtId="0" fontId="25" fillId="62" borderId="48" applyNumberFormat="0" applyFont="0" applyAlignment="0" applyProtection="0"/>
    <xf numFmtId="238" fontId="28" fillId="0" borderId="0" applyFont="0" applyFill="0" applyBorder="0" applyAlignment="0" applyProtection="0"/>
    <xf numFmtId="0" fontId="28" fillId="0" borderId="47"/>
    <xf numFmtId="0" fontId="28" fillId="0" borderId="47"/>
    <xf numFmtId="0" fontId="28" fillId="0" borderId="47"/>
    <xf numFmtId="238" fontId="28" fillId="0" borderId="0" applyFont="0" applyFill="0" applyBorder="0" applyAlignment="0" applyProtection="0"/>
    <xf numFmtId="238" fontId="28" fillId="0" borderId="0" applyFont="0" applyFill="0" applyBorder="0" applyAlignment="0" applyProtection="0"/>
    <xf numFmtId="0" fontId="28" fillId="0" borderId="0" applyFont="0" applyFill="0" applyBorder="0" applyAlignment="0" applyProtection="0"/>
    <xf numFmtId="14" fontId="28" fillId="0" borderId="0" applyFont="0" applyFill="0" applyBorder="0" applyAlignment="0" applyProtection="0"/>
    <xf numFmtId="14" fontId="28" fillId="0" borderId="0" applyFont="0" applyFill="0" applyBorder="0" applyAlignment="0" applyProtection="0"/>
    <xf numFmtId="1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82" fontId="222" fillId="0" borderId="47" applyBorder="0"/>
    <xf numFmtId="1" fontId="28" fillId="0" borderId="0" applyFont="0" applyFill="0" applyBorder="0" applyAlignment="0" applyProtection="0"/>
    <xf numFmtId="1" fontId="28" fillId="0" borderId="0" applyFont="0" applyFill="0" applyBorder="0" applyAlignment="0" applyProtection="0"/>
    <xf numFmtId="1" fontId="28" fillId="0" borderId="0" applyFont="0" applyFill="0" applyBorder="0" applyAlignment="0" applyProtection="0"/>
    <xf numFmtId="239" fontId="223" fillId="0" borderId="0" applyFont="0" applyFill="0" applyBorder="0" applyProtection="0">
      <alignment horizontal="right"/>
    </xf>
    <xf numFmtId="240" fontId="51" fillId="0" borderId="47">
      <alignment horizontal="center" vertical="center"/>
    </xf>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28" fillId="0" borderId="0"/>
    <xf numFmtId="0" fontId="57" fillId="0" borderId="0"/>
    <xf numFmtId="0" fontId="224" fillId="0" borderId="56" applyNumberFormat="0" applyFill="0" applyAlignment="0" applyProtection="0"/>
    <xf numFmtId="0" fontId="224" fillId="0" borderId="56" applyNumberFormat="0" applyFill="0" applyAlignment="0" applyProtection="0"/>
    <xf numFmtId="0" fontId="224" fillId="0" borderId="56" applyNumberFormat="0" applyFill="0" applyAlignment="0" applyProtection="0"/>
    <xf numFmtId="0" fontId="208" fillId="0" borderId="0" applyNumberFormat="0" applyFill="0" applyBorder="0" applyAlignment="0" applyProtection="0"/>
    <xf numFmtId="0" fontId="68" fillId="0" borderId="44" applyNumberFormat="0" applyFill="0" applyAlignment="0" applyProtection="0"/>
    <xf numFmtId="0" fontId="69" fillId="0" borderId="45" applyNumberFormat="0" applyFill="0" applyAlignment="0" applyProtection="0"/>
    <xf numFmtId="0" fontId="76" fillId="0" borderId="46" applyNumberFormat="0" applyFill="0" applyAlignment="0" applyProtection="0"/>
    <xf numFmtId="0" fontId="76" fillId="0" borderId="0" applyNumberFormat="0" applyFill="0" applyBorder="0" applyAlignment="0" applyProtection="0"/>
    <xf numFmtId="10" fontId="28" fillId="0" borderId="0" applyFill="0" applyBorder="0">
      <alignment horizontal="center" vertical="center"/>
    </xf>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225" fillId="65" borderId="50" applyNumberFormat="0" applyAlignment="0" applyProtection="0"/>
    <xf numFmtId="0" fontId="68" fillId="0" borderId="44" applyNumberFormat="0" applyFill="0" applyAlignment="0" applyProtection="0"/>
    <xf numFmtId="0" fontId="69" fillId="0" borderId="45" applyNumberFormat="0" applyFill="0" applyAlignment="0" applyProtection="0"/>
    <xf numFmtId="0" fontId="76" fillId="0" borderId="46" applyNumberFormat="0" applyFill="0" applyAlignment="0" applyProtection="0"/>
    <xf numFmtId="0" fontId="76" fillId="0" borderId="0" applyNumberFormat="0" applyFill="0" applyBorder="0" applyAlignment="0" applyProtection="0"/>
    <xf numFmtId="0" fontId="56" fillId="51" borderId="47" applyNumberFormat="0" applyFont="0" applyBorder="0" applyAlignment="0">
      <alignment horizontal="center"/>
      <protection locked="0"/>
    </xf>
    <xf numFmtId="0" fontId="226" fillId="0" borderId="0" applyFill="0" applyBorder="0" applyProtection="0">
      <alignment horizontal="left"/>
    </xf>
    <xf numFmtId="0" fontId="227" fillId="0" borderId="0" applyFill="0" applyBorder="0" applyProtection="0">
      <alignment horizontal="left"/>
    </xf>
    <xf numFmtId="1" fontId="228" fillId="0" borderId="0" applyProtection="0">
      <alignment horizontal="right" vertical="center"/>
    </xf>
    <xf numFmtId="0" fontId="229" fillId="0" borderId="0">
      <protection locked="0"/>
    </xf>
    <xf numFmtId="0" fontId="229" fillId="0" borderId="0">
      <protection locked="0"/>
    </xf>
    <xf numFmtId="0" fontId="230" fillId="0" borderId="0">
      <protection locked="0"/>
    </xf>
    <xf numFmtId="0" fontId="231" fillId="0" borderId="0"/>
    <xf numFmtId="0" fontId="77" fillId="80" borderId="0" applyNumberFormat="0" applyBorder="0" applyAlignment="0" applyProtection="0"/>
    <xf numFmtId="0" fontId="77" fillId="84" borderId="0" applyNumberFormat="0" applyBorder="0" applyAlignment="0" applyProtection="0"/>
    <xf numFmtId="0" fontId="77" fillId="86"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89" borderId="0" applyNumberFormat="0" applyBorder="0" applyAlignment="0" applyProtection="0"/>
    <xf numFmtId="0" fontId="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199" fillId="62" borderId="48" applyNumberFormat="0" applyFont="0" applyAlignment="0" applyProtection="0"/>
    <xf numFmtId="0" fontId="99" fillId="62" borderId="48" applyNumberFormat="0" applyFont="0" applyAlignment="0" applyProtection="0"/>
    <xf numFmtId="0" fontId="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199" fillId="62" borderId="48" applyNumberFormat="0" applyFont="0" applyAlignment="0" applyProtection="0"/>
    <xf numFmtId="0" fontId="208" fillId="0" borderId="0" applyNumberFormat="0" applyFill="0" applyBorder="0" applyAlignment="0" applyProtection="0"/>
    <xf numFmtId="49" fontId="28" fillId="0" borderId="12" applyFill="0" applyProtection="0">
      <alignment vertical="center"/>
    </xf>
    <xf numFmtId="0" fontId="28" fillId="91" borderId="71" applyNumberFormat="0" applyFont="0" applyBorder="0" applyAlignment="0">
      <alignment horizontal="centerContinuous"/>
      <protection locked="0"/>
    </xf>
    <xf numFmtId="0" fontId="89" fillId="113" borderId="0" applyNumberFormat="0" applyFont="0" applyBorder="0" applyAlignment="0">
      <alignment horizontal="centerContinuous"/>
    </xf>
    <xf numFmtId="9" fontId="51" fillId="0" borderId="0" applyFont="0" applyFill="0" applyBorder="0" applyAlignment="0" applyProtection="0"/>
    <xf numFmtId="0" fontId="208" fillId="0" borderId="0" applyNumberFormat="0" applyFill="0" applyBorder="0" applyAlignment="0" applyProtection="0"/>
    <xf numFmtId="0" fontId="68" fillId="0" borderId="44" applyNumberFormat="0" applyFill="0" applyAlignment="0" applyProtection="0"/>
    <xf numFmtId="0" fontId="68" fillId="0" borderId="44" applyNumberFormat="0" applyFill="0" applyAlignment="0" applyProtection="0"/>
    <xf numFmtId="0" fontId="232" fillId="0" borderId="44" applyNumberFormat="0" applyFill="0" applyAlignment="0" applyProtection="0"/>
    <xf numFmtId="0" fontId="69" fillId="0" borderId="45" applyNumberFormat="0" applyFill="0" applyAlignment="0" applyProtection="0"/>
    <xf numFmtId="0" fontId="69" fillId="0" borderId="45" applyNumberFormat="0" applyFill="0" applyAlignment="0" applyProtection="0"/>
    <xf numFmtId="0" fontId="233" fillId="0" borderId="45" applyNumberFormat="0" applyFill="0" applyAlignment="0" applyProtection="0"/>
    <xf numFmtId="0" fontId="76" fillId="0" borderId="46" applyNumberFormat="0" applyFill="0" applyAlignment="0" applyProtection="0"/>
    <xf numFmtId="0" fontId="76" fillId="0" borderId="46" applyNumberFormat="0" applyFill="0" applyAlignment="0" applyProtection="0"/>
    <xf numFmtId="0" fontId="234" fillId="0" borderId="46"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234" fillId="0" borderId="0" applyNumberFormat="0" applyFill="0" applyBorder="0" applyAlignment="0" applyProtection="0"/>
    <xf numFmtId="0" fontId="208" fillId="0" borderId="0" applyNumberFormat="0" applyFill="0" applyBorder="0" applyAlignment="0" applyProtection="0"/>
    <xf numFmtId="0" fontId="235" fillId="0" borderId="0" applyNumberFormat="0" applyFill="0" applyBorder="0" applyAlignment="0" applyProtection="0"/>
    <xf numFmtId="0" fontId="235" fillId="0" borderId="0" applyNumberFormat="0" applyFill="0" applyBorder="0" applyAlignment="0" applyProtection="0"/>
    <xf numFmtId="0" fontId="133" fillId="0" borderId="0"/>
    <xf numFmtId="241" fontId="51" fillId="102" borderId="60" applyFill="0" applyBorder="0" applyProtection="0">
      <alignment horizontal="right"/>
      <protection locked="0"/>
    </xf>
    <xf numFmtId="242" fontId="51" fillId="95" borderId="0" applyFill="0" applyBorder="0" applyAlignment="0" applyProtection="0">
      <alignment horizontal="right"/>
    </xf>
    <xf numFmtId="170" fontId="28" fillId="0" borderId="0" applyFill="0" applyBorder="0" applyAlignment="0" applyProtection="0"/>
    <xf numFmtId="10" fontId="28" fillId="0" borderId="0" applyFill="0" applyBorder="0" applyAlignment="0" applyProtection="0"/>
    <xf numFmtId="9" fontId="99" fillId="0" borderId="0" applyFont="0" applyFill="0" applyBorder="0" applyAlignment="0" applyProtection="0"/>
    <xf numFmtId="9" fontId="99" fillId="0" borderId="0" applyFont="0" applyFill="0" applyBorder="0" applyAlignment="0" applyProtection="0"/>
    <xf numFmtId="10" fontId="99" fillId="0" borderId="0" applyFont="0" applyFill="0" applyBorder="0" applyAlignment="0" applyProtection="0"/>
    <xf numFmtId="10" fontId="99" fillId="0" borderId="0" applyFont="0" applyFill="0" applyBorder="0" applyAlignment="0" applyProtection="0"/>
    <xf numFmtId="10" fontId="28" fillId="0" borderId="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18" fillId="0" borderId="0" applyFont="0" applyFill="0" applyBorder="0" applyAlignment="0" applyProtection="0"/>
    <xf numFmtId="9" fontId="126" fillId="0" borderId="0" applyFont="0" applyFill="0" applyBorder="0" applyAlignment="0" applyProtection="0"/>
    <xf numFmtId="9" fontId="37" fillId="0" borderId="0" applyFont="0" applyFill="0" applyBorder="0" applyAlignment="0" applyProtection="0"/>
    <xf numFmtId="9" fontId="126" fillId="0" borderId="0" applyFont="0" applyFill="0" applyBorder="0" applyAlignment="0" applyProtection="0"/>
    <xf numFmtId="9" fontId="37" fillId="0" borderId="0" applyFont="0" applyFill="0" applyBorder="0" applyAlignment="0" applyProtection="0"/>
    <xf numFmtId="9" fontId="18" fillId="0" borderId="0" applyFont="0" applyFill="0" applyBorder="0" applyAlignment="0" applyProtection="0"/>
    <xf numFmtId="9" fontId="126"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99" fillId="0" borderId="0" applyFont="0" applyFill="0" applyBorder="0" applyAlignment="0" applyProtection="0"/>
    <xf numFmtId="9" fontId="37" fillId="0" borderId="0" applyFont="0" applyFill="0" applyBorder="0" applyAlignment="0" applyProtection="0"/>
    <xf numFmtId="9" fontId="28" fillId="0" borderId="0" applyFont="0" applyFill="0" applyBorder="0" applyAlignment="0" applyProtection="0"/>
    <xf numFmtId="9" fontId="99" fillId="0" borderId="0" applyFont="0" applyFill="0" applyBorder="0" applyAlignment="0" applyProtection="0"/>
    <xf numFmtId="9" fontId="99" fillId="0" borderId="0" applyFont="0" applyFill="0" applyBorder="0" applyAlignment="0" applyProtection="0"/>
    <xf numFmtId="9" fontId="99" fillId="0" borderId="0" applyFont="0" applyFill="0" applyBorder="0" applyAlignment="0" applyProtection="0"/>
    <xf numFmtId="9" fontId="37" fillId="0" borderId="0" applyFont="0" applyFill="0" applyBorder="0" applyAlignment="0" applyProtection="0"/>
    <xf numFmtId="9" fontId="18" fillId="0" borderId="0" applyFont="0" applyFill="0" applyBorder="0" applyAlignment="0" applyProtection="0"/>
    <xf numFmtId="9" fontId="28" fillId="0" borderId="0" applyFont="0" applyFill="0" applyBorder="0" applyAlignment="0" applyProtection="0"/>
    <xf numFmtId="9" fontId="236" fillId="0" borderId="0" applyFont="0" applyFill="0" applyBorder="0" applyAlignment="0" applyProtection="0"/>
    <xf numFmtId="9" fontId="37" fillId="0" borderId="0" applyFont="0" applyFill="0" applyBorder="0" applyAlignment="0" applyProtection="0"/>
    <xf numFmtId="9" fontId="126"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99" fillId="0" borderId="0" applyFont="0" applyFill="0" applyBorder="0" applyAlignment="0" applyProtection="0"/>
    <xf numFmtId="9" fontId="99" fillId="0" borderId="0" applyFont="0" applyFill="0" applyBorder="0" applyAlignment="0" applyProtection="0"/>
    <xf numFmtId="9" fontId="99" fillId="0" borderId="0" applyFont="0" applyFill="0" applyBorder="0" applyAlignment="0" applyProtection="0"/>
    <xf numFmtId="9" fontId="99" fillId="0" borderId="0" applyFont="0" applyFill="0" applyBorder="0" applyAlignment="0" applyProtection="0"/>
    <xf numFmtId="9" fontId="126"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9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18" fillId="0" borderId="0" applyFont="0" applyFill="0" applyBorder="0" applyAlignment="0" applyProtection="0"/>
    <xf numFmtId="9" fontId="126" fillId="0" borderId="0" applyFont="0" applyFill="0" applyBorder="0" applyAlignment="0" applyProtection="0"/>
    <xf numFmtId="9" fontId="18" fillId="0" borderId="0" applyFont="0" applyFill="0" applyBorder="0" applyAlignment="0" applyProtection="0"/>
    <xf numFmtId="9" fontId="126" fillId="0" borderId="0" applyFont="0" applyFill="0" applyBorder="0" applyAlignment="0" applyProtection="0"/>
    <xf numFmtId="9" fontId="18" fillId="0" borderId="0" applyFont="0" applyFill="0" applyBorder="0" applyAlignment="0" applyProtection="0"/>
    <xf numFmtId="9" fontId="126" fillId="0" borderId="0" applyFont="0" applyFill="0" applyBorder="0" applyAlignment="0" applyProtection="0"/>
    <xf numFmtId="9" fontId="18" fillId="0" borderId="0" applyFont="0" applyFill="0" applyBorder="0" applyAlignment="0" applyProtection="0"/>
    <xf numFmtId="9" fontId="126" fillId="0" borderId="0" applyFont="0" applyFill="0" applyBorder="0" applyAlignment="0" applyProtection="0"/>
    <xf numFmtId="9" fontId="18" fillId="0" borderId="0" applyFont="0" applyFill="0" applyBorder="0" applyAlignment="0" applyProtection="0"/>
    <xf numFmtId="9" fontId="126" fillId="0" borderId="0" applyFont="0" applyFill="0" applyBorder="0" applyAlignment="0" applyProtection="0"/>
    <xf numFmtId="9" fontId="126"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7" fillId="0" borderId="0" applyFont="0" applyFill="0" applyBorder="0" applyAlignment="0" applyProtection="0"/>
    <xf numFmtId="9" fontId="1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126" fillId="0" borderId="0" applyFont="0" applyFill="0" applyBorder="0" applyAlignment="0" applyProtection="0"/>
    <xf numFmtId="9" fontId="126"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28"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102" fillId="0" borderId="0" applyFont="0" applyFill="0" applyBorder="0" applyProtection="0">
      <alignment horizontal="right"/>
    </xf>
    <xf numFmtId="10" fontId="237" fillId="114"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8"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8" fillId="0" borderId="0" applyFont="0" applyFill="0" applyBorder="0" applyAlignment="0" applyProtection="0"/>
    <xf numFmtId="9" fontId="99" fillId="0" borderId="0" applyFont="0" applyFill="0" applyBorder="0" applyAlignment="0" applyProtection="0"/>
    <xf numFmtId="9" fontId="99"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73" fillId="0" borderId="0" applyFont="0" applyFill="0" applyBorder="0" applyAlignment="0" applyProtection="0"/>
    <xf numFmtId="9" fontId="51" fillId="0" borderId="0" applyFill="0" applyBorder="0" applyAlignment="0" applyProtection="0"/>
    <xf numFmtId="243" fontId="51" fillId="0" borderId="0" applyFont="0" applyFill="0" applyBorder="0" applyAlignment="0" applyProtection="0"/>
    <xf numFmtId="0" fontId="28" fillId="0" borderId="0" applyFont="0" applyFill="0" applyBorder="0" applyAlignment="0" applyProtection="0"/>
    <xf numFmtId="0" fontId="28" fillId="0" borderId="0" applyNumberFormat="0" applyFill="0" applyBorder="0" applyProtection="0">
      <alignment horizontal="left"/>
    </xf>
    <xf numFmtId="0" fontId="93" fillId="0" borderId="0" applyNumberFormat="0" applyFill="0" applyBorder="0" applyProtection="0">
      <alignment horizontal="left"/>
    </xf>
    <xf numFmtId="0" fontId="93" fillId="0" borderId="0" applyNumberFormat="0" applyFill="0" applyBorder="0" applyProtection="0">
      <alignment horizontal="left"/>
    </xf>
    <xf numFmtId="0" fontId="93"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28"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28"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28" fillId="0" borderId="0" applyNumberFormat="0" applyFill="0" applyBorder="0" applyProtection="0">
      <alignment horizontal="left"/>
    </xf>
    <xf numFmtId="0" fontId="93" fillId="0" borderId="0" applyNumberFormat="0" applyFill="0" applyBorder="0" applyProtection="0">
      <alignment horizontal="left"/>
    </xf>
    <xf numFmtId="0" fontId="93" fillId="0" borderId="0" applyNumberFormat="0" applyFill="0" applyBorder="0" applyProtection="0">
      <alignment horizontal="left"/>
    </xf>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238" fillId="0" borderId="75">
      <alignment horizontal="center"/>
    </xf>
    <xf numFmtId="0" fontId="166" fillId="0" borderId="10" applyFont="0">
      <alignment horizontal="right"/>
    </xf>
    <xf numFmtId="0" fontId="166" fillId="0" borderId="10" applyFont="0">
      <alignment horizontal="right"/>
    </xf>
    <xf numFmtId="0" fontId="72" fillId="0" borderId="76">
      <alignment horizontal="center"/>
    </xf>
    <xf numFmtId="0" fontId="72" fillId="0" borderId="76">
      <alignment horizontal="center"/>
    </xf>
    <xf numFmtId="0" fontId="72" fillId="0" borderId="76">
      <alignment horizontal="center"/>
    </xf>
    <xf numFmtId="0" fontId="72" fillId="0" borderId="76">
      <alignment horizontal="center"/>
    </xf>
    <xf numFmtId="0" fontId="72" fillId="0" borderId="76">
      <alignment horizontal="center"/>
    </xf>
    <xf numFmtId="10" fontId="93" fillId="0" borderId="0"/>
    <xf numFmtId="244" fontId="28" fillId="0" borderId="0">
      <protection locked="0"/>
    </xf>
    <xf numFmtId="245" fontId="28" fillId="0" borderId="0">
      <protection locked="0"/>
    </xf>
    <xf numFmtId="246" fontId="28" fillId="0" borderId="0">
      <protection locked="0"/>
    </xf>
    <xf numFmtId="9" fontId="28" fillId="0" borderId="0" applyFont="0" applyFill="0" applyBorder="0" applyAlignment="0" applyProtection="0"/>
    <xf numFmtId="9" fontId="99" fillId="0" borderId="0" applyFont="0" applyFill="0" applyBorder="0" applyAlignment="0" applyProtection="0"/>
    <xf numFmtId="9" fontId="28" fillId="0" borderId="0" applyFont="0" applyFill="0" applyBorder="0" applyAlignment="0" applyProtection="0"/>
    <xf numFmtId="9" fontId="99" fillId="0" borderId="0" applyFont="0" applyFill="0" applyBorder="0" applyAlignment="0" applyProtection="0"/>
    <xf numFmtId="9" fontId="99"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5"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44" fillId="0" borderId="0" applyFont="0" applyFill="0" applyBorder="0" applyAlignment="0" applyProtection="0"/>
    <xf numFmtId="9" fontId="28"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8" fillId="0" borderId="0" applyFont="0" applyFill="0" applyBorder="0" applyAlignment="0" applyProtection="0"/>
    <xf numFmtId="9" fontId="7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93" fillId="0" borderId="0" applyFont="0" applyFill="0" applyBorder="0" applyAlignment="0" applyProtection="0"/>
    <xf numFmtId="0" fontId="25" fillId="62" borderId="48" applyNumberFormat="0" applyFont="0" applyAlignment="0" applyProtection="0"/>
    <xf numFmtId="0" fontId="25" fillId="62" borderId="48" applyNumberFormat="0" applyFont="0" applyAlignment="0" applyProtection="0"/>
    <xf numFmtId="0" fontId="25" fillId="62" borderId="48" applyNumberFormat="0" applyFont="0" applyAlignment="0" applyProtection="0"/>
    <xf numFmtId="0" fontId="28" fillId="0" borderId="0"/>
    <xf numFmtId="9" fontId="28"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99" fillId="0" borderId="0" applyFont="0" applyFill="0" applyBorder="0" applyAlignment="0" applyProtection="0"/>
    <xf numFmtId="9" fontId="99"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8" fillId="0" borderId="0" applyFont="0" applyFill="0" applyBorder="0" applyAlignment="0" applyProtection="0"/>
    <xf numFmtId="0" fontId="51" fillId="115" borderId="77" applyNumberFormat="0" applyFont="0" applyBorder="0" applyAlignment="0" applyProtection="0"/>
    <xf numFmtId="173" fontId="72" fillId="0" borderId="0"/>
    <xf numFmtId="0" fontId="109" fillId="0" borderId="55" applyNumberFormat="0" applyFill="0" applyAlignment="0" applyProtection="0"/>
    <xf numFmtId="9" fontId="37" fillId="0" borderId="0" applyFont="0" applyFill="0" applyBorder="0" applyAlignment="0" applyProtection="0"/>
    <xf numFmtId="9" fontId="7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99"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2" fillId="0" borderId="0" applyFont="0" applyFill="0" applyBorder="0" applyAlignment="0" applyProtection="0"/>
    <xf numFmtId="9" fontId="99" fillId="0" borderId="0" applyFont="0" applyFill="0" applyBorder="0" applyAlignment="0" applyProtection="0"/>
    <xf numFmtId="0" fontId="93" fillId="0" borderId="0" applyNumberFormat="0" applyFont="0" applyFill="0" applyBorder="0" applyAlignment="0" applyProtection="0">
      <alignment horizontal="left"/>
    </xf>
    <xf numFmtId="15" fontId="93" fillId="0" borderId="0" applyFont="0" applyFill="0" applyBorder="0" applyAlignment="0" applyProtection="0"/>
    <xf numFmtId="0" fontId="206" fillId="0" borderId="51">
      <alignment horizontal="center"/>
    </xf>
    <xf numFmtId="0" fontId="206" fillId="0" borderId="51">
      <alignment horizontal="center"/>
    </xf>
    <xf numFmtId="0" fontId="206" fillId="0" borderId="51">
      <alignment horizontal="center"/>
    </xf>
    <xf numFmtId="3" fontId="93" fillId="0" borderId="0" applyFont="0" applyFill="0" applyBorder="0" applyAlignment="0" applyProtection="0"/>
    <xf numFmtId="0" fontId="93" fillId="116" borderId="0" applyNumberFormat="0" applyFont="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51" fillId="0" borderId="0" applyFont="0" applyFill="0" applyBorder="0" applyAlignment="0" applyProtection="0"/>
    <xf numFmtId="247" fontId="51" fillId="95" borderId="47" applyFill="0" applyBorder="0" applyProtection="0">
      <alignment horizontal="left"/>
    </xf>
    <xf numFmtId="0" fontId="239" fillId="0" borderId="25" applyNumberFormat="0" applyFont="0" applyBorder="0" applyAlignment="0" applyProtection="0"/>
    <xf numFmtId="0" fontId="28" fillId="0" borderId="0" applyBorder="0" applyAlignment="0"/>
    <xf numFmtId="0" fontId="239" fillId="0" borderId="25" applyNumberFormat="0" applyFont="0" applyBorder="0" applyAlignment="0" applyProtection="0"/>
    <xf numFmtId="0" fontId="239" fillId="0" borderId="25" applyNumberFormat="0" applyFont="0" applyBorder="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8" fillId="62" borderId="48" applyNumberFormat="0" applyFont="0" applyAlignment="0" applyProtection="0"/>
    <xf numFmtId="0" fontId="240" fillId="0" borderId="0" applyNumberFormat="0" applyFill="0" applyBorder="0" applyAlignment="0" applyProtection="0"/>
    <xf numFmtId="0" fontId="95" fillId="0" borderId="0"/>
    <xf numFmtId="0" fontId="95" fillId="0" borderId="0">
      <alignment horizontal="right"/>
    </xf>
    <xf numFmtId="0" fontId="95" fillId="0" borderId="0">
      <alignment horizontal="right"/>
    </xf>
    <xf numFmtId="0" fontId="28" fillId="0" borderId="78" applyFont="0" applyFill="0" applyBorder="0"/>
    <xf numFmtId="0" fontId="28" fillId="0" borderId="78" applyFont="0" applyFill="0" applyBorder="0"/>
    <xf numFmtId="0" fontId="28" fillId="0" borderId="78" applyFont="0" applyFill="0" applyBorder="0"/>
    <xf numFmtId="0" fontId="28" fillId="0" borderId="78" applyFont="0" applyFill="0" applyBorder="0"/>
    <xf numFmtId="0" fontId="28" fillId="0" borderId="78" applyFont="0" applyFill="0" applyBorder="0"/>
    <xf numFmtId="0" fontId="28" fillId="0" borderId="78" applyFont="0" applyFill="0" applyBorder="0"/>
    <xf numFmtId="0" fontId="28" fillId="0" borderId="0" applyFill="0" applyBorder="0" applyProtection="0">
      <alignment vertical="center"/>
    </xf>
    <xf numFmtId="0" fontId="28" fillId="0" borderId="0" applyFill="0" applyBorder="0" applyProtection="0">
      <alignment vertical="center"/>
    </xf>
    <xf numFmtId="0" fontId="28" fillId="0" borderId="0" applyFill="0" applyBorder="0" applyProtection="0">
      <alignment vertical="center"/>
    </xf>
    <xf numFmtId="0" fontId="77" fillId="80" borderId="0" applyNumberFormat="0" applyBorder="0" applyAlignment="0" applyProtection="0"/>
    <xf numFmtId="0" fontId="77" fillId="80" borderId="0" applyNumberFormat="0" applyBorder="0" applyAlignment="0" applyProtection="0"/>
    <xf numFmtId="0" fontId="82" fillId="80" borderId="0" applyNumberFormat="0" applyBorder="0" applyAlignment="0" applyProtection="0"/>
    <xf numFmtId="0" fontId="77" fillId="84" borderId="0" applyNumberFormat="0" applyBorder="0" applyAlignment="0" applyProtection="0"/>
    <xf numFmtId="0" fontId="77" fillId="84" borderId="0" applyNumberFormat="0" applyBorder="0" applyAlignment="0" applyProtection="0"/>
    <xf numFmtId="0" fontId="82" fillId="84" borderId="0" applyNumberFormat="0" applyBorder="0" applyAlignment="0" applyProtection="0"/>
    <xf numFmtId="0" fontId="77" fillId="86" borderId="0" applyNumberFormat="0" applyBorder="0" applyAlignment="0" applyProtection="0"/>
    <xf numFmtId="0" fontId="77" fillId="86" borderId="0" applyNumberFormat="0" applyBorder="0" applyAlignment="0" applyProtection="0"/>
    <xf numFmtId="0" fontId="82" fillId="86" borderId="0" applyNumberFormat="0" applyBorder="0" applyAlignment="0" applyProtection="0"/>
    <xf numFmtId="0" fontId="77" fillId="72" borderId="0" applyNumberFormat="0" applyBorder="0" applyAlignment="0" applyProtection="0"/>
    <xf numFmtId="0" fontId="77" fillId="72" borderId="0" applyNumberFormat="0" applyBorder="0" applyAlignment="0" applyProtection="0"/>
    <xf numFmtId="0" fontId="82" fillId="72" borderId="0" applyNumberFormat="0" applyBorder="0" applyAlignment="0" applyProtection="0"/>
    <xf numFmtId="0" fontId="77" fillId="73" borderId="0" applyNumberFormat="0" applyBorder="0" applyAlignment="0" applyProtection="0"/>
    <xf numFmtId="0" fontId="77" fillId="73" borderId="0" applyNumberFormat="0" applyBorder="0" applyAlignment="0" applyProtection="0"/>
    <xf numFmtId="0" fontId="82" fillId="73" borderId="0" applyNumberFormat="0" applyBorder="0" applyAlignment="0" applyProtection="0"/>
    <xf numFmtId="0" fontId="77" fillId="89" borderId="0" applyNumberFormat="0" applyBorder="0" applyAlignment="0" applyProtection="0"/>
    <xf numFmtId="0" fontId="77" fillId="89" borderId="0" applyNumberFormat="0" applyBorder="0" applyAlignment="0" applyProtection="0"/>
    <xf numFmtId="0" fontId="82" fillId="89" borderId="0" applyNumberFormat="0" applyBorder="0" applyAlignment="0" applyProtection="0"/>
    <xf numFmtId="0" fontId="241" fillId="48" borderId="0" applyNumberFormat="0" applyBorder="0" applyAlignment="0" applyProtection="0"/>
    <xf numFmtId="0" fontId="242" fillId="117" borderId="79" applyProtection="0">
      <alignment horizontal="center" vertical="center"/>
    </xf>
    <xf numFmtId="0" fontId="242" fillId="117" borderId="79" applyProtection="0">
      <alignment horizontal="center" vertical="center"/>
    </xf>
    <xf numFmtId="0" fontId="242" fillId="117" borderId="79" applyProtection="0">
      <alignment horizontal="center" vertical="center"/>
    </xf>
    <xf numFmtId="0" fontId="242" fillId="117" borderId="79" applyProtection="0">
      <alignment horizontal="center" vertical="center"/>
    </xf>
    <xf numFmtId="0" fontId="242" fillId="117" borderId="79" applyProtection="0">
      <alignment horizontal="center" vertical="center"/>
    </xf>
    <xf numFmtId="0" fontId="242" fillId="117" borderId="79" applyProtection="0">
      <alignment horizontal="center" vertical="center"/>
    </xf>
    <xf numFmtId="0" fontId="208" fillId="0" borderId="0" applyNumberFormat="0" applyFill="0" applyBorder="0" applyAlignment="0" applyProtection="0"/>
    <xf numFmtId="0" fontId="68" fillId="0" borderId="44" applyNumberFormat="0" applyFill="0" applyAlignment="0" applyProtection="0"/>
    <xf numFmtId="0" fontId="69" fillId="0" borderId="45" applyNumberFormat="0" applyFill="0" applyAlignment="0" applyProtection="0"/>
    <xf numFmtId="0" fontId="76" fillId="0" borderId="46" applyNumberFormat="0" applyFill="0" applyAlignment="0" applyProtection="0"/>
    <xf numFmtId="0" fontId="76" fillId="0" borderId="0" applyNumberFormat="0" applyFill="0" applyBorder="0" applyAlignment="0" applyProtection="0"/>
    <xf numFmtId="0" fontId="243" fillId="0" borderId="0" applyNumberFormat="0" applyFill="0" applyBorder="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109" fillId="0" borderId="55" applyNumberFormat="0" applyFill="0" applyAlignment="0" applyProtection="0"/>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72"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244" fillId="91" borderId="50" applyNumberFormat="0" applyProtection="0">
      <alignment vertical="center"/>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4" fontId="72" fillId="91"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17"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01"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18"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07"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19"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0"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1"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2"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72" fillId="123" borderId="50" applyNumberFormat="0" applyProtection="0">
      <alignment horizontal="right" vertical="center"/>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238" fillId="124" borderId="5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72" fillId="125" borderId="80" applyNumberFormat="0" applyProtection="0">
      <alignment horizontal="left" vertical="center" indent="1"/>
    </xf>
    <xf numFmtId="4" fontId="245" fillId="126" borderId="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5"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4" fontId="72"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7"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128"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51"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72"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244" fillId="49" borderId="50" applyNumberFormat="0" applyProtection="0">
      <alignment vertical="center"/>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49" borderId="50" applyNumberFormat="0" applyProtection="0">
      <alignment horizontal="left" vertical="center" indent="1"/>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72"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4" fontId="244" fillId="125" borderId="50" applyNumberFormat="0" applyProtection="0">
      <alignment horizontal="right" vertical="center"/>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8" fillId="98" borderId="50" applyNumberFormat="0" applyProtection="0">
      <alignment horizontal="left" vertical="center" indent="1"/>
    </xf>
    <xf numFmtId="0" fontId="246" fillId="0" borderId="0"/>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4" fontId="52" fillId="125" borderId="50" applyNumberFormat="0" applyProtection="0">
      <alignment horizontal="right" vertical="center"/>
    </xf>
    <xf numFmtId="0" fontId="103" fillId="57" borderId="0" applyNumberFormat="0" applyBorder="0" applyAlignment="0" applyProtection="0"/>
    <xf numFmtId="0" fontId="103" fillId="57" borderId="0" applyNumberFormat="0" applyBorder="0" applyAlignment="0" applyProtection="0"/>
    <xf numFmtId="0" fontId="103" fillId="57" borderId="0" applyNumberFormat="0" applyBorder="0" applyAlignment="0" applyProtection="0"/>
    <xf numFmtId="0" fontId="6" fillId="2" borderId="0" applyNumberFormat="0" applyBorder="0" applyAlignment="0" applyProtection="0"/>
    <xf numFmtId="0" fontId="247" fillId="2" borderId="0" applyNumberFormat="0" applyBorder="0" applyAlignment="0" applyProtection="0"/>
    <xf numFmtId="0" fontId="103" fillId="57" borderId="0" applyNumberFormat="0" applyBorder="0" applyAlignment="0" applyProtection="0"/>
    <xf numFmtId="0" fontId="36" fillId="48" borderId="0" applyNumberFormat="0" applyBorder="0" applyAlignment="0" applyProtection="0"/>
    <xf numFmtId="0" fontId="248" fillId="129" borderId="0" applyNumberFormat="0"/>
    <xf numFmtId="0" fontId="87" fillId="0" borderId="0" applyNumberFormat="0" applyFill="0" applyBorder="0" applyAlignment="0" applyProtection="0"/>
    <xf numFmtId="0" fontId="87" fillId="0" borderId="0" applyNumberFormat="0" applyFill="0" applyBorder="0" applyAlignment="0" applyProtection="0"/>
    <xf numFmtId="0" fontId="249" fillId="0" borderId="0" applyNumberFormat="0" applyFill="0" applyBorder="0" applyAlignment="0" applyProtection="0"/>
    <xf numFmtId="0" fontId="87" fillId="0" borderId="0" applyNumberFormat="0" applyFill="0" applyBorder="0" applyAlignment="0" applyProtection="0"/>
    <xf numFmtId="0" fontId="51" fillId="0" borderId="0" applyFont="0" applyFill="0" applyBorder="0" applyAlignment="0" applyProtection="0"/>
    <xf numFmtId="0" fontId="250" fillId="70" borderId="0" applyNumberFormat="0" applyBorder="0" applyAlignment="0" applyProtection="0"/>
    <xf numFmtId="0" fontId="99" fillId="130" borderId="0" applyNumberFormat="0" applyFont="0" applyBorder="0" applyAlignment="0" applyProtection="0"/>
    <xf numFmtId="186" fontId="48" fillId="131" borderId="0"/>
    <xf numFmtId="248" fontId="51" fillId="95" borderId="40" applyFill="0" applyBorder="0" applyProtection="0">
      <alignment horizontal="center"/>
    </xf>
    <xf numFmtId="0" fontId="134"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251" fillId="60"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252" fillId="0" borderId="0" applyNumberFormat="0" applyFill="0" applyBorder="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253" fillId="61" borderId="50" applyNumberFormat="0" applyAlignment="0" applyProtection="0"/>
    <xf numFmtId="0" fontId="96" fillId="65" borderId="50" applyNumberFormat="0" applyAlignment="0" applyProtection="0"/>
    <xf numFmtId="0" fontId="96" fillId="65" borderId="50" applyNumberFormat="0" applyAlignment="0" applyProtection="0"/>
    <xf numFmtId="0" fontId="10" fillId="6" borderId="5" applyNumberFormat="0" applyAlignment="0" applyProtection="0"/>
    <xf numFmtId="0" fontId="10" fillId="61" borderId="5" applyNumberFormat="0" applyAlignment="0" applyProtection="0"/>
    <xf numFmtId="0" fontId="10" fillId="61" borderId="5" applyNumberFormat="0" applyAlignment="0" applyProtection="0"/>
    <xf numFmtId="0" fontId="96" fillId="65" borderId="50" applyNumberFormat="0" applyAlignment="0" applyProtection="0"/>
    <xf numFmtId="0" fontId="96" fillId="65" borderId="50" applyNumberFormat="0" applyAlignment="0" applyProtection="0"/>
    <xf numFmtId="0" fontId="254" fillId="6" borderId="5" applyNumberFormat="0" applyAlignment="0" applyProtection="0"/>
    <xf numFmtId="0" fontId="254" fillId="6" borderId="5"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37" fillId="123" borderId="53" applyNumberFormat="0">
      <alignment horizontal="center" vertical="center"/>
      <protection locked="0"/>
    </xf>
    <xf numFmtId="0" fontId="37" fillId="123" borderId="53" applyNumberFormat="0">
      <alignment horizontal="center" vertical="center"/>
      <protection locked="0"/>
    </xf>
    <xf numFmtId="0" fontId="37" fillId="123" borderId="53" applyNumberFormat="0">
      <alignment horizontal="center" vertical="center"/>
      <protection locked="0"/>
    </xf>
    <xf numFmtId="0" fontId="103" fillId="57" borderId="0" applyNumberFormat="0" applyBorder="0" applyAlignment="0" applyProtection="0"/>
    <xf numFmtId="0" fontId="25" fillId="0" borderId="0" applyNumberFormat="0" applyFont="0" applyFill="0" applyBorder="0" applyProtection="0">
      <alignment horizontal="left" vertical="center"/>
    </xf>
    <xf numFmtId="0" fontId="25" fillId="0" borderId="0" applyNumberFormat="0" applyFont="0" applyFill="0" applyBorder="0" applyProtection="0">
      <alignment horizontal="left" vertical="center"/>
    </xf>
    <xf numFmtId="0" fontId="255" fillId="0" borderId="81" applyNumberFormat="0" applyFill="0" applyProtection="0">
      <alignment horizontal="center" vertical="center" wrapText="1"/>
    </xf>
    <xf numFmtId="0" fontId="255" fillId="0" borderId="81" applyNumberFormat="0" applyFill="0" applyProtection="0">
      <alignment horizontal="center" vertical="center" wrapText="1"/>
    </xf>
    <xf numFmtId="0" fontId="255" fillId="0" borderId="82" applyNumberFormat="0" applyFill="0" applyProtection="0">
      <alignment horizontal="center" vertical="center" wrapText="1"/>
    </xf>
    <xf numFmtId="0" fontId="255" fillId="0" borderId="82" applyNumberFormat="0" applyFill="0" applyProtection="0">
      <alignment horizontal="center" vertical="center" wrapText="1"/>
    </xf>
    <xf numFmtId="0" fontId="95" fillId="0" borderId="81" applyNumberFormat="0" applyFill="0" applyProtection="0">
      <alignment horizontal="left" vertical="center" wrapText="1"/>
    </xf>
    <xf numFmtId="0" fontId="95" fillId="0" borderId="81" applyNumberFormat="0" applyFill="0" applyProtection="0">
      <alignment horizontal="left" vertical="center" wrapText="1"/>
    </xf>
    <xf numFmtId="0" fontId="95" fillId="0" borderId="81" applyNumberFormat="0" applyFill="0" applyProtection="0">
      <alignment horizontal="left" vertical="center" wrapText="1" indent="1"/>
    </xf>
    <xf numFmtId="0" fontId="95" fillId="0" borderId="81" applyNumberFormat="0" applyFill="0" applyProtection="0">
      <alignment horizontal="left" vertical="center" wrapText="1" indent="1"/>
    </xf>
    <xf numFmtId="249" fontId="95" fillId="0" borderId="82" applyFill="0" applyProtection="0">
      <alignment horizontal="right" vertical="center" wrapText="1"/>
    </xf>
    <xf numFmtId="249" fontId="95" fillId="0" borderId="82" applyFill="0" applyProtection="0">
      <alignment horizontal="right" vertical="center" wrapText="1"/>
    </xf>
    <xf numFmtId="249" fontId="95" fillId="0" borderId="81" applyFill="0" applyProtection="0">
      <alignment horizontal="right" vertical="center" wrapText="1"/>
    </xf>
    <xf numFmtId="249" fontId="95" fillId="0" borderId="81" applyFill="0" applyProtection="0">
      <alignment horizontal="right" vertical="center" wrapText="1"/>
    </xf>
    <xf numFmtId="250" fontId="95" fillId="0" borderId="81" applyFill="0" applyProtection="0">
      <alignment horizontal="right" vertical="center" wrapText="1"/>
    </xf>
    <xf numFmtId="250" fontId="95" fillId="0" borderId="81" applyFill="0" applyProtection="0">
      <alignment horizontal="right" vertical="center" wrapText="1"/>
    </xf>
    <xf numFmtId="0" fontId="95" fillId="0" borderId="0" applyNumberFormat="0" applyFill="0" applyBorder="0" applyProtection="0">
      <alignment horizontal="left" vertical="center" wrapText="1"/>
    </xf>
    <xf numFmtId="0" fontId="95" fillId="0" borderId="0" applyNumberFormat="0" applyFill="0" applyBorder="0" applyProtection="0">
      <alignment horizontal="left" vertical="center" wrapText="1" indent="1"/>
    </xf>
    <xf numFmtId="249" fontId="95" fillId="0" borderId="10" applyFill="0" applyProtection="0">
      <alignment horizontal="right" vertical="center" wrapText="1"/>
    </xf>
    <xf numFmtId="0" fontId="28" fillId="0" borderId="0" applyNumberFormat="0" applyFill="0" applyBorder="0" applyAlignment="0" applyProtection="0"/>
    <xf numFmtId="249" fontId="95" fillId="0" borderId="0" applyFill="0" applyBorder="0" applyProtection="0">
      <alignment horizontal="right" vertical="center" wrapText="1"/>
    </xf>
    <xf numFmtId="250" fontId="95" fillId="0" borderId="0" applyFill="0" applyBorder="0" applyProtection="0">
      <alignment horizontal="right" vertical="center" wrapText="1"/>
    </xf>
    <xf numFmtId="250" fontId="95" fillId="0" borderId="10" applyFill="0" applyProtection="0">
      <alignment horizontal="right" vertical="center" wrapText="1"/>
    </xf>
    <xf numFmtId="0" fontId="95" fillId="0" borderId="12" applyNumberFormat="0" applyFill="0" applyProtection="0">
      <alignment horizontal="left" vertical="center" wrapText="1"/>
    </xf>
    <xf numFmtId="0" fontId="95" fillId="0" borderId="12" applyNumberFormat="0" applyFill="0" applyProtection="0">
      <alignment horizontal="left" vertical="center" wrapText="1" indent="1"/>
    </xf>
    <xf numFmtId="249" fontId="95" fillId="0" borderId="13" applyFill="0" applyProtection="0">
      <alignment horizontal="right" vertical="center" wrapText="1"/>
    </xf>
    <xf numFmtId="249" fontId="95" fillId="0" borderId="12" applyFill="0" applyProtection="0">
      <alignment horizontal="right" vertical="center" wrapText="1"/>
    </xf>
    <xf numFmtId="251" fontId="95" fillId="0" borderId="0" applyFill="0" applyBorder="0" applyProtection="0">
      <alignment horizontal="right" vertical="center" wrapText="1"/>
    </xf>
    <xf numFmtId="0" fontId="95" fillId="0" borderId="83" applyNumberFormat="0" applyFill="0" applyProtection="0">
      <alignment horizontal="left" vertical="center" wrapText="1"/>
    </xf>
    <xf numFmtId="0" fontId="95" fillId="0" borderId="83" applyNumberFormat="0" applyFill="0" applyProtection="0">
      <alignment horizontal="left" vertical="center" wrapText="1" indent="1"/>
    </xf>
    <xf numFmtId="0" fontId="162" fillId="0" borderId="0" applyNumberFormat="0" applyFill="0" applyBorder="0" applyProtection="0">
      <alignment horizontal="left" vertical="center" wrapText="1"/>
    </xf>
    <xf numFmtId="249" fontId="95" fillId="0" borderId="84" applyFill="0" applyProtection="0">
      <alignment horizontal="right" vertical="center" wrapText="1"/>
    </xf>
    <xf numFmtId="249" fontId="95" fillId="0" borderId="83" applyFill="0" applyProtection="0">
      <alignment horizontal="right" vertical="center" wrapText="1"/>
    </xf>
    <xf numFmtId="251" fontId="95" fillId="0" borderId="83" applyFill="0" applyProtection="0">
      <alignment horizontal="right" vertical="center" wrapText="1"/>
    </xf>
    <xf numFmtId="250" fontId="95" fillId="0" borderId="83" applyFill="0" applyProtection="0">
      <alignment horizontal="right" vertical="center" wrapText="1"/>
    </xf>
    <xf numFmtId="0" fontId="28" fillId="0" borderId="0" applyNumberFormat="0" applyFill="0" applyBorder="0" applyProtection="0">
      <alignment vertical="center" wrapText="1"/>
    </xf>
    <xf numFmtId="0" fontId="28" fillId="0" borderId="0" applyNumberFormat="0" applyFill="0" applyBorder="0" applyProtection="0">
      <alignment vertical="center" wrapText="1"/>
    </xf>
    <xf numFmtId="0" fontId="55" fillId="0" borderId="0" applyNumberFormat="0" applyFill="0" applyBorder="0" applyProtection="0">
      <alignment horizontal="left" vertical="center" wrapText="1"/>
    </xf>
    <xf numFmtId="0" fontId="28" fillId="0" borderId="0" applyNumberFormat="0" applyFill="0" applyBorder="0" applyProtection="0">
      <alignment vertical="center" wrapText="1"/>
    </xf>
    <xf numFmtId="0" fontId="28" fillId="0" borderId="0" applyNumberFormat="0" applyFill="0" applyBorder="0" applyProtection="0">
      <alignment vertical="center" wrapText="1"/>
    </xf>
    <xf numFmtId="0" fontId="25" fillId="0" borderId="0" applyNumberFormat="0" applyFont="0" applyFill="0" applyBorder="0" applyProtection="0">
      <alignment horizontal="left" vertical="center"/>
    </xf>
    <xf numFmtId="0" fontId="25" fillId="0" borderId="0" applyNumberFormat="0" applyFont="0" applyFill="0" applyBorder="0" applyProtection="0">
      <alignment horizontal="left" vertical="center"/>
    </xf>
    <xf numFmtId="0" fontId="162" fillId="0" borderId="0" applyNumberFormat="0" applyFill="0" applyBorder="0" applyProtection="0">
      <alignment horizontal="left" vertical="center" wrapText="1"/>
    </xf>
    <xf numFmtId="0" fontId="56" fillId="0" borderId="0" applyNumberFormat="0" applyFill="0" applyBorder="0" applyProtection="0">
      <alignment vertical="center" wrapText="1"/>
    </xf>
    <xf numFmtId="0" fontId="25" fillId="0" borderId="85" applyNumberFormat="0" applyFont="0" applyFill="0" applyProtection="0">
      <alignment horizontal="center" vertical="center" wrapText="1"/>
    </xf>
    <xf numFmtId="0" fontId="25" fillId="0" borderId="85" applyNumberFormat="0" applyFont="0" applyFill="0" applyProtection="0">
      <alignment horizontal="center" vertical="center" wrapText="1"/>
    </xf>
    <xf numFmtId="0" fontId="162" fillId="0" borderId="85" applyNumberFormat="0" applyFill="0" applyProtection="0">
      <alignment horizontal="center" vertical="center" wrapText="1"/>
    </xf>
    <xf numFmtId="0" fontId="162" fillId="0" borderId="86" applyNumberFormat="0" applyFill="0" applyProtection="0">
      <alignment horizontal="center" vertical="center" wrapText="1"/>
    </xf>
    <xf numFmtId="0" fontId="162" fillId="0" borderId="85" applyNumberFormat="0" applyFill="0" applyProtection="0">
      <alignment horizontal="center" vertical="center" wrapText="1"/>
    </xf>
    <xf numFmtId="0" fontId="28" fillId="0" borderId="0"/>
    <xf numFmtId="0" fontId="25" fillId="0" borderId="0"/>
    <xf numFmtId="0" fontId="99" fillId="0" borderId="0"/>
    <xf numFmtId="0" fontId="25" fillId="0" borderId="0"/>
    <xf numFmtId="0" fontId="72" fillId="0" borderId="0"/>
    <xf numFmtId="0" fontId="28" fillId="0" borderId="0"/>
    <xf numFmtId="0" fontId="99" fillId="0" borderId="0"/>
    <xf numFmtId="0" fontId="28" fillId="0" borderId="0"/>
    <xf numFmtId="0" fontId="28"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99" fillId="0" borderId="0"/>
    <xf numFmtId="0" fontId="256" fillId="0" borderId="72" applyNumberFormat="0" applyFill="0" applyBorder="0" applyAlignment="0" applyProtection="0">
      <alignment horizontal="left"/>
    </xf>
    <xf numFmtId="0" fontId="257" fillId="0" borderId="72" applyNumberFormat="0" applyFill="0" applyBorder="0" applyAlignment="0" applyProtection="0">
      <alignment horizontal="left"/>
    </xf>
    <xf numFmtId="0" fontId="256" fillId="0" borderId="72" applyNumberFormat="0" applyFill="0" applyBorder="0" applyAlignment="0" applyProtection="0">
      <alignment horizontal="left"/>
    </xf>
    <xf numFmtId="0" fontId="256" fillId="0" borderId="72" applyNumberFormat="0" applyFill="0" applyBorder="0" applyAlignment="0" applyProtection="0">
      <alignment horizontal="left"/>
    </xf>
    <xf numFmtId="0" fontId="258" fillId="0" borderId="72" applyNumberFormat="0" applyFill="0" applyBorder="0" applyAlignment="0" applyProtection="0">
      <alignment horizontal="left"/>
    </xf>
    <xf numFmtId="14" fontId="252" fillId="0" borderId="25" applyNumberFormat="0" applyFill="0" applyBorder="0" applyAlignment="0" applyProtection="0">
      <alignment horizontal="center"/>
    </xf>
    <xf numFmtId="14" fontId="203" fillId="0" borderId="25" applyNumberFormat="0" applyFill="0" applyBorder="0" applyAlignment="0" applyProtection="0">
      <alignment horizontal="center"/>
    </xf>
    <xf numFmtId="14" fontId="252" fillId="0" borderId="25" applyNumberFormat="0" applyFill="0" applyBorder="0" applyAlignment="0" applyProtection="0">
      <alignment horizontal="center"/>
    </xf>
    <xf numFmtId="0" fontId="203" fillId="0" borderId="87" applyNumberFormat="0" applyFill="0" applyBorder="0" applyAlignment="0" applyProtection="0"/>
    <xf numFmtId="0" fontId="28" fillId="0" borderId="0"/>
    <xf numFmtId="0" fontId="259" fillId="0" borderId="0">
      <alignment horizontal="center" vertical="center"/>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60" fillId="0" borderId="0"/>
    <xf numFmtId="0" fontId="60" fillId="0" borderId="0"/>
    <xf numFmtId="0" fontId="201" fillId="0" borderId="0"/>
    <xf numFmtId="0" fontId="67" fillId="0" borderId="41" applyFont="0" applyFill="0" applyAlignment="0" applyProtection="0"/>
    <xf numFmtId="0" fontId="67" fillId="0" borderId="41" applyFont="0" applyFill="0" applyAlignment="0" applyProtection="0"/>
    <xf numFmtId="0" fontId="67" fillId="0" borderId="41" applyFont="0" applyFill="0" applyAlignment="0" applyProtection="0"/>
    <xf numFmtId="0" fontId="67" fillId="0" borderId="41" applyFont="0" applyFill="0" applyAlignment="0" applyProtection="0"/>
    <xf numFmtId="0" fontId="67" fillId="0" borderId="41" applyFont="0" applyFill="0" applyAlignment="0" applyProtection="0"/>
    <xf numFmtId="217" fontId="260" fillId="0" borderId="88" applyNumberFormat="0" applyFont="0" applyFill="0" applyAlignment="0" applyProtection="0"/>
    <xf numFmtId="217" fontId="260" fillId="0" borderId="88" applyNumberFormat="0" applyFont="0" applyFill="0" applyAlignment="0" applyProtection="0"/>
    <xf numFmtId="252" fontId="51" fillId="0" borderId="47">
      <alignment horizontal="center" vertical="center"/>
    </xf>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109" fillId="0" borderId="55" applyNumberFormat="0" applyFill="0" applyAlignment="0" applyProtection="0"/>
    <xf numFmtId="0" fontId="261" fillId="42" borderId="14">
      <alignment horizontal="center"/>
    </xf>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262" fillId="65" borderId="49" applyNumberFormat="0" applyAlignment="0" applyProtection="0"/>
    <xf numFmtId="0" fontId="262" fillId="65" borderId="49" applyNumberFormat="0" applyAlignment="0" applyProtection="0"/>
    <xf numFmtId="0" fontId="262" fillId="65" borderId="49" applyNumberFormat="0" applyAlignment="0" applyProtection="0"/>
    <xf numFmtId="9" fontId="25" fillId="0" borderId="0" applyFont="0" applyFill="0" applyBorder="0" applyAlignment="0" applyProtection="0"/>
    <xf numFmtId="9" fontId="184" fillId="0" borderId="0" applyFont="0" applyFill="0" applyBorder="0" applyAlignment="0" applyProtection="0"/>
    <xf numFmtId="0" fontId="59" fillId="0" borderId="0" applyFill="0" applyBorder="0" applyProtection="0">
      <alignment horizontal="center" vertical="center"/>
    </xf>
    <xf numFmtId="0" fontId="263" fillId="0" borderId="0" applyBorder="0" applyProtection="0">
      <alignment vertical="center"/>
    </xf>
    <xf numFmtId="0" fontId="263" fillId="0" borderId="12" applyBorder="0" applyProtection="0">
      <alignment horizontal="right" vertical="center"/>
    </xf>
    <xf numFmtId="0" fontId="264" fillId="132" borderId="0" applyBorder="0" applyProtection="0">
      <alignment horizontal="centerContinuous" vertical="center"/>
    </xf>
    <xf numFmtId="0" fontId="264" fillId="133" borderId="12" applyBorder="0" applyProtection="0">
      <alignment horizontal="centerContinuous" vertical="center"/>
    </xf>
    <xf numFmtId="0" fontId="204" fillId="0" borderId="0" applyFill="0" applyBorder="0" applyProtection="0"/>
    <xf numFmtId="0" fontId="265" fillId="0" borderId="0" applyFill="0" applyBorder="0" applyProtection="0">
      <alignment horizontal="left"/>
    </xf>
    <xf numFmtId="0" fontId="266" fillId="0" borderId="0" applyFill="0" applyBorder="0" applyProtection="0">
      <alignment horizontal="left" vertical="top"/>
    </xf>
    <xf numFmtId="0" fontId="51" fillId="0" borderId="89" applyNumberFormat="0" applyFont="0" applyFill="0" applyAlignment="0" applyProtection="0">
      <alignment horizontal="right"/>
    </xf>
    <xf numFmtId="0" fontId="47" fillId="75" borderId="54" applyNumberFormat="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267" fillId="0" borderId="0" applyNumberFormat="0" applyFill="0" applyBorder="0" applyAlignment="0" applyProtection="0"/>
    <xf numFmtId="0" fontId="267" fillId="0" borderId="0" applyNumberFormat="0" applyFill="0" applyBorder="0" applyAlignment="0" applyProtection="0"/>
    <xf numFmtId="0" fontId="268" fillId="0" borderId="0" applyNumberFormat="0" applyFill="0" applyBorder="0" applyAlignment="0" applyProtection="0"/>
    <xf numFmtId="0" fontId="268" fillId="0" borderId="0" applyNumberFormat="0" applyFill="0" applyBorder="0" applyAlignment="0" applyProtection="0"/>
    <xf numFmtId="254" fontId="51" fillId="0" borderId="0" applyFill="0" applyBorder="0" applyProtection="0">
      <alignment horizontal="left"/>
    </xf>
    <xf numFmtId="0" fontId="86" fillId="0" borderId="0" applyNumberFormat="0" applyFill="0" applyBorder="0" applyAlignment="0" applyProtection="0"/>
    <xf numFmtId="0" fontId="269"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270" fillId="0" borderId="0" applyNumberFormat="0" applyFill="0" applyBorder="0" applyAlignment="0" applyProtection="0"/>
    <xf numFmtId="0" fontId="15" fillId="0" borderId="0" applyNumberFormat="0" applyFill="0" applyBorder="0" applyAlignment="0" applyProtection="0"/>
    <xf numFmtId="0" fontId="271"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67" fillId="0" borderId="0" applyFont="0" applyFill="0" applyBorder="0" applyAlignment="0" applyProtection="0"/>
    <xf numFmtId="0" fontId="47" fillId="75" borderId="54" applyNumberFormat="0" applyAlignment="0" applyProtection="0"/>
    <xf numFmtId="0" fontId="272" fillId="61" borderId="0"/>
    <xf numFmtId="0" fontId="208" fillId="0" borderId="0" applyNumberFormat="0" applyFill="0" applyBorder="0" applyAlignment="0" applyProtection="0"/>
    <xf numFmtId="186" fontId="131" fillId="134" borderId="0" applyNumberFormat="0">
      <alignment vertical="center"/>
    </xf>
    <xf numFmtId="186" fontId="273" fillId="95" borderId="0" applyNumberFormat="0">
      <alignment vertical="center"/>
    </xf>
    <xf numFmtId="186" fontId="274" fillId="0" borderId="0" applyNumberFormat="0">
      <alignment vertical="center"/>
    </xf>
    <xf numFmtId="186" fontId="48" fillId="0" borderId="0" applyNumberFormat="0">
      <alignment vertical="center"/>
    </xf>
    <xf numFmtId="0" fontId="208" fillId="0" borderId="0" applyNumberFormat="0" applyFill="0" applyBorder="0" applyAlignment="0" applyProtection="0"/>
    <xf numFmtId="0" fontId="275" fillId="0" borderId="44" applyNumberFormat="0" applyFill="0" applyAlignment="0" applyProtection="0"/>
    <xf numFmtId="0" fontId="275" fillId="0" borderId="44" applyNumberFormat="0" applyFill="0" applyAlignment="0" applyProtection="0"/>
    <xf numFmtId="0" fontId="276" fillId="0" borderId="45" applyNumberFormat="0" applyFill="0" applyAlignment="0" applyProtection="0"/>
    <xf numFmtId="0" fontId="276" fillId="0" borderId="45" applyNumberFormat="0" applyFill="0" applyAlignment="0" applyProtection="0"/>
    <xf numFmtId="0" fontId="277" fillId="0" borderId="46" applyNumberFormat="0" applyFill="0" applyAlignment="0" applyProtection="0"/>
    <xf numFmtId="0" fontId="277" fillId="0" borderId="46" applyNumberFormat="0" applyFill="0" applyAlignment="0" applyProtection="0"/>
    <xf numFmtId="0" fontId="277" fillId="0" borderId="0" applyNumberFormat="0" applyFill="0" applyBorder="0" applyAlignment="0" applyProtection="0"/>
    <xf numFmtId="0" fontId="277"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165" fillId="0" borderId="67" applyNumberFormat="0" applyFill="0" applyAlignment="0" applyProtection="0"/>
    <xf numFmtId="0" fontId="208" fillId="0" borderId="0" applyNumberFormat="0" applyFill="0" applyBorder="0" applyAlignment="0" applyProtection="0"/>
    <xf numFmtId="0" fontId="68" fillId="0" borderId="44" applyNumberFormat="0" applyFill="0" applyAlignment="0" applyProtection="0"/>
    <xf numFmtId="0" fontId="68" fillId="0" borderId="44" applyNumberFormat="0" applyFill="0" applyAlignment="0" applyProtection="0"/>
    <xf numFmtId="0" fontId="167" fillId="0" borderId="45" applyNumberFormat="0" applyFill="0" applyAlignment="0" applyProtection="0"/>
    <xf numFmtId="0" fontId="208" fillId="0" borderId="0" applyNumberFormat="0" applyFill="0" applyBorder="0" applyAlignment="0" applyProtection="0"/>
    <xf numFmtId="0" fontId="167" fillId="0" borderId="45" applyNumberFormat="0" applyFill="0" applyAlignment="0" applyProtection="0"/>
    <xf numFmtId="0" fontId="278" fillId="0" borderId="2" applyNumberFormat="0" applyFill="0" applyAlignment="0" applyProtection="0"/>
    <xf numFmtId="0" fontId="208" fillId="0" borderId="0" applyNumberFormat="0" applyFill="0" applyBorder="0" applyAlignment="0" applyProtection="0"/>
    <xf numFmtId="0" fontId="168" fillId="0" borderId="90" applyNumberFormat="0" applyFill="0" applyAlignment="0" applyProtection="0"/>
    <xf numFmtId="0" fontId="208" fillId="0" borderId="0" applyNumberFormat="0" applyFill="0" applyBorder="0" applyAlignment="0" applyProtection="0"/>
    <xf numFmtId="0" fontId="168" fillId="0" borderId="90" applyNumberFormat="0" applyFill="0" applyAlignment="0" applyProtection="0"/>
    <xf numFmtId="0" fontId="208" fillId="0" borderId="0" applyNumberFormat="0" applyFill="0" applyBorder="0" applyAlignment="0" applyProtection="0"/>
    <xf numFmtId="0" fontId="168" fillId="0" borderId="0" applyNumberFormat="0" applyFill="0" applyBorder="0" applyAlignment="0" applyProtection="0"/>
    <xf numFmtId="0" fontId="243"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08" fillId="0" borderId="0" applyNumberFormat="0" applyFill="0" applyBorder="0" applyAlignment="0" applyProtection="0"/>
    <xf numFmtId="0" fontId="243" fillId="0" borderId="0" applyNumberFormat="0" applyFill="0" applyBorder="0" applyAlignment="0" applyProtection="0"/>
    <xf numFmtId="0" fontId="243" fillId="0" borderId="0" applyNumberFormat="0" applyFill="0" applyBorder="0" applyAlignment="0" applyProtection="0"/>
    <xf numFmtId="0" fontId="68" fillId="0" borderId="44" applyNumberFormat="0" applyFill="0" applyAlignment="0" applyProtection="0"/>
    <xf numFmtId="0" fontId="68" fillId="0" borderId="44" applyNumberFormat="0" applyFill="0" applyAlignment="0" applyProtection="0"/>
    <xf numFmtId="0" fontId="68" fillId="0" borderId="44" applyNumberFormat="0" applyFill="0" applyAlignment="0" applyProtection="0"/>
    <xf numFmtId="0" fontId="68" fillId="0" borderId="44" applyNumberFormat="0" applyFill="0" applyAlignment="0" applyProtection="0"/>
    <xf numFmtId="0" fontId="3" fillId="0" borderId="1" applyNumberFormat="0" applyFill="0" applyAlignment="0" applyProtection="0"/>
    <xf numFmtId="0" fontId="165" fillId="0" borderId="67" applyNumberFormat="0" applyFill="0" applyAlignment="0" applyProtection="0"/>
    <xf numFmtId="0" fontId="279" fillId="0" borderId="1" applyNumberFormat="0" applyFill="0" applyAlignment="0" applyProtection="0"/>
    <xf numFmtId="0" fontId="68" fillId="0" borderId="44" applyNumberFormat="0" applyFill="0" applyAlignment="0" applyProtection="0"/>
    <xf numFmtId="0" fontId="68" fillId="0" borderId="44" applyNumberFormat="0" applyFill="0" applyAlignment="0" applyProtection="0"/>
    <xf numFmtId="0" fontId="69" fillId="0" borderId="45" applyNumberFormat="0" applyFill="0" applyAlignment="0" applyProtection="0"/>
    <xf numFmtId="0" fontId="69" fillId="0" borderId="45" applyNumberFormat="0" applyFill="0" applyAlignment="0" applyProtection="0"/>
    <xf numFmtId="0" fontId="69" fillId="0" borderId="45" applyNumberFormat="0" applyFill="0" applyAlignment="0" applyProtection="0"/>
    <xf numFmtId="0" fontId="69" fillId="0" borderId="45" applyNumberFormat="0" applyFill="0" applyAlignment="0" applyProtection="0"/>
    <xf numFmtId="0" fontId="4" fillId="0" borderId="2" applyNumberFormat="0" applyFill="0" applyAlignment="0" applyProtection="0"/>
    <xf numFmtId="0" fontId="280" fillId="0" borderId="2" applyNumberFormat="0" applyFill="0" applyAlignment="0" applyProtection="0"/>
    <xf numFmtId="0" fontId="278" fillId="0" borderId="2" applyNumberFormat="0" applyFill="0" applyAlignment="0" applyProtection="0"/>
    <xf numFmtId="0" fontId="69" fillId="0" borderId="45" applyNumberFormat="0" applyFill="0" applyAlignment="0" applyProtection="0"/>
    <xf numFmtId="0" fontId="69" fillId="0" borderId="45" applyNumberFormat="0" applyFill="0" applyAlignment="0" applyProtection="0"/>
    <xf numFmtId="0" fontId="76" fillId="0" borderId="46" applyNumberFormat="0" applyFill="0" applyAlignment="0" applyProtection="0"/>
    <xf numFmtId="0" fontId="76" fillId="0" borderId="46" applyNumberFormat="0" applyFill="0" applyAlignment="0" applyProtection="0"/>
    <xf numFmtId="0" fontId="76" fillId="0" borderId="46" applyNumberFormat="0" applyFill="0" applyAlignment="0" applyProtection="0"/>
    <xf numFmtId="0" fontId="76" fillId="0" borderId="46" applyNumberFormat="0" applyFill="0" applyAlignment="0" applyProtection="0"/>
    <xf numFmtId="0" fontId="5" fillId="0" borderId="3" applyNumberFormat="0" applyFill="0" applyAlignment="0" applyProtection="0"/>
    <xf numFmtId="0" fontId="168" fillId="0" borderId="90" applyNumberFormat="0" applyFill="0" applyAlignment="0" applyProtection="0"/>
    <xf numFmtId="0" fontId="281" fillId="0" borderId="3" applyNumberFormat="0" applyFill="0" applyAlignment="0" applyProtection="0"/>
    <xf numFmtId="0" fontId="76" fillId="0" borderId="46"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xf numFmtId="0" fontId="168" fillId="0" borderId="0" applyNumberFormat="0" applyFill="0" applyBorder="0" applyAlignment="0" applyProtection="0"/>
    <xf numFmtId="0" fontId="281" fillId="0" borderId="0" applyNumberFormat="0" applyFill="0" applyBorder="0" applyAlignment="0" applyProtection="0"/>
    <xf numFmtId="0" fontId="76" fillId="0" borderId="0" applyNumberFormat="0" applyFill="0" applyBorder="0" applyAlignment="0" applyProtection="0"/>
    <xf numFmtId="226" fontId="55" fillId="135" borderId="0" applyNumberFormat="0" applyBorder="0">
      <alignment vertical="center"/>
    </xf>
    <xf numFmtId="0" fontId="48" fillId="136" borderId="91" applyNumberFormat="0">
      <alignment horizontal="centerContinuous" vertical="center"/>
    </xf>
    <xf numFmtId="0" fontId="162" fillId="112" borderId="47" applyNumberFormat="0" applyBorder="0">
      <alignment horizontal="centerContinuous" vertical="center" wrapText="1"/>
    </xf>
    <xf numFmtId="0" fontId="132" fillId="112" borderId="47" applyNumberFormat="0" applyBorder="0">
      <alignment horizontal="centerContinuous" vertical="center" wrapText="1"/>
    </xf>
    <xf numFmtId="0" fontId="282" fillId="0" borderId="0">
      <alignment vertical="center"/>
    </xf>
    <xf numFmtId="0" fontId="208" fillId="0" borderId="0" applyNumberFormat="0" applyFill="0" applyBorder="0" applyAlignment="0" applyProtection="0"/>
    <xf numFmtId="0" fontId="68" fillId="0" borderId="44" applyNumberFormat="0" applyFill="0" applyAlignment="0" applyProtection="0"/>
    <xf numFmtId="0" fontId="69" fillId="0" borderId="45" applyNumberFormat="0" applyFill="0" applyAlignment="0" applyProtection="0"/>
    <xf numFmtId="0" fontId="76" fillId="0" borderId="46" applyNumberFormat="0" applyFill="0" applyAlignment="0" applyProtection="0"/>
    <xf numFmtId="203" fontId="52" fillId="0" borderId="0" applyNumberFormat="0" applyFill="0" applyBorder="0" applyAlignment="0" applyProtection="0"/>
    <xf numFmtId="217" fontId="260" fillId="0" borderId="92" applyNumberFormat="0" applyFont="0" applyFill="0" applyAlignment="0" applyProtection="0"/>
    <xf numFmtId="217" fontId="260" fillId="0" borderId="92" applyNumberFormat="0" applyFont="0" applyFill="0" applyAlignment="0" applyProtection="0"/>
    <xf numFmtId="217" fontId="260" fillId="0" borderId="92" applyNumberFormat="0" applyFont="0" applyFill="0" applyAlignment="0" applyProtection="0"/>
    <xf numFmtId="217" fontId="260" fillId="0" borderId="92" applyNumberFormat="0" applyFont="0" applyFill="0" applyAlignment="0" applyProtection="0"/>
    <xf numFmtId="217" fontId="260" fillId="0" borderId="92" applyNumberFormat="0" applyFon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16" fillId="0" borderId="93"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16" fillId="0" borderId="93" applyNumberFormat="0" applyFill="0" applyAlignment="0" applyProtection="0"/>
    <xf numFmtId="0" fontId="16" fillId="0" borderId="93" applyNumberFormat="0" applyFill="0" applyAlignment="0" applyProtection="0"/>
    <xf numFmtId="0" fontId="16" fillId="0" borderId="93" applyNumberFormat="0" applyFill="0" applyAlignment="0" applyProtection="0"/>
    <xf numFmtId="0" fontId="50" fillId="0" borderId="56" applyNumberFormat="0" applyFill="0" applyAlignment="0" applyProtection="0"/>
    <xf numFmtId="0" fontId="283" fillId="0" borderId="93" applyNumberFormat="0" applyFill="0" applyAlignment="0" applyProtection="0"/>
    <xf numFmtId="0" fontId="16" fillId="0" borderId="93" applyNumberFormat="0" applyFill="0" applyAlignment="0" applyProtection="0"/>
    <xf numFmtId="0" fontId="16" fillId="0" borderId="93"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50" fillId="0" borderId="56" applyNumberFormat="0" applyFill="0" applyAlignment="0" applyProtection="0"/>
    <xf numFmtId="0" fontId="284" fillId="0" borderId="9" applyNumberFormat="0" applyFill="0" applyAlignment="0" applyProtection="0"/>
    <xf numFmtId="0" fontId="284" fillId="0" borderId="9"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16" fillId="0" borderId="9"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50"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285" fillId="0" borderId="56" applyNumberFormat="0" applyFill="0" applyAlignment="0" applyProtection="0"/>
    <xf numFmtId="0" fontId="67" fillId="0" borderId="94" applyFont="0" applyFill="0" applyAlignment="0" applyProtection="0"/>
    <xf numFmtId="0" fontId="272" fillId="61" borderId="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255" fontId="28"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68" fillId="0" borderId="44" applyNumberFormat="0" applyFill="0" applyAlignment="0" applyProtection="0"/>
    <xf numFmtId="0" fontId="69" fillId="0" borderId="45" applyNumberFormat="0" applyFill="0" applyAlignment="0" applyProtection="0"/>
    <xf numFmtId="0" fontId="76" fillId="0" borderId="46" applyNumberFormat="0" applyFill="0" applyAlignment="0" applyProtection="0"/>
    <xf numFmtId="0" fontId="76" fillId="0" borderId="0" applyNumberFormat="0" applyFill="0" applyBorder="0" applyAlignment="0" applyProtection="0"/>
    <xf numFmtId="0" fontId="208" fillId="0" borderId="0" applyNumberFormat="0" applyFill="0" applyBorder="0" applyAlignment="0" applyProtection="0"/>
    <xf numFmtId="0" fontId="36" fillId="48" borderId="0" applyNumberFormat="0" applyBorder="0" applyAlignment="0" applyProtection="0"/>
    <xf numFmtId="186" fontId="37" fillId="137" borderId="0" applyNumberFormat="0" applyFont="0" applyBorder="0" applyAlignment="0" applyProtection="0"/>
    <xf numFmtId="186" fontId="37" fillId="137" borderId="0" applyNumberFormat="0" applyFont="0" applyBorder="0" applyAlignment="0" applyProtection="0"/>
    <xf numFmtId="186" fontId="37" fillId="137" borderId="0" applyNumberFormat="0" applyFont="0" applyBorder="0" applyAlignment="0" applyProtection="0"/>
    <xf numFmtId="0" fontId="28" fillId="0" borderId="0"/>
    <xf numFmtId="0" fontId="286" fillId="0" borderId="0">
      <alignment vertical="center"/>
    </xf>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127" fillId="62" borderId="48" applyNumberFormat="0" applyFont="0" applyAlignment="0" applyProtection="0"/>
    <xf numFmtId="0" fontId="25" fillId="62" borderId="48" applyNumberFormat="0" applyFont="0" applyAlignment="0" applyProtection="0"/>
    <xf numFmtId="0" fontId="25" fillId="62" borderId="48" applyNumberFormat="0" applyFont="0" applyAlignment="0" applyProtection="0"/>
    <xf numFmtId="0" fontId="25" fillId="62" borderId="48" applyNumberFormat="0" applyFont="0" applyAlignment="0" applyProtection="0"/>
    <xf numFmtId="0" fontId="127" fillId="62" borderId="48" applyNumberFormat="0" applyFont="0" applyAlignment="0" applyProtection="0"/>
    <xf numFmtId="0" fontId="127" fillId="62" borderId="48" applyNumberFormat="0" applyFont="0" applyAlignment="0" applyProtection="0"/>
    <xf numFmtId="0" fontId="127" fillId="62" borderId="48" applyNumberFormat="0" applyFont="0" applyAlignment="0" applyProtection="0"/>
    <xf numFmtId="0" fontId="127" fillId="62" borderId="48" applyNumberFormat="0" applyFont="0" applyAlignment="0" applyProtection="0"/>
    <xf numFmtId="0" fontId="127" fillId="62" borderId="48" applyNumberFormat="0" applyFont="0" applyAlignment="0" applyProtection="0"/>
    <xf numFmtId="0" fontId="96"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96"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7" fillId="65" borderId="50" applyNumberFormat="0" applyAlignment="0" applyProtection="0"/>
    <xf numFmtId="0" fontId="288" fillId="48" borderId="0" applyNumberFormat="0" applyBorder="0" applyAlignment="0" applyProtection="0"/>
    <xf numFmtId="0" fontId="288" fillId="48" borderId="0" applyNumberFormat="0" applyBorder="0" applyAlignment="0" applyProtection="0"/>
    <xf numFmtId="0" fontId="289" fillId="57" borderId="0" applyNumberFormat="0" applyBorder="0" applyAlignment="0" applyProtection="0"/>
    <xf numFmtId="0" fontId="289" fillId="57" borderId="0" applyNumberFormat="0" applyBorder="0" applyAlignment="0" applyProtection="0"/>
    <xf numFmtId="256" fontId="51" fillId="102" borderId="95" applyFill="0" applyBorder="0" applyAlignment="0" applyProtection="0">
      <alignment horizontal="right"/>
      <protection locked="0"/>
    </xf>
    <xf numFmtId="257" fontId="28" fillId="0" borderId="0" applyFont="0" applyFill="0" applyBorder="0" applyAlignment="0" applyProtection="0"/>
    <xf numFmtId="258" fontId="99" fillId="0" borderId="0" applyFont="0" applyFill="0" applyBorder="0" applyAlignment="0" applyProtection="0"/>
    <xf numFmtId="258" fontId="99" fillId="0" borderId="0" applyFont="0" applyFill="0" applyBorder="0" applyAlignment="0" applyProtection="0"/>
    <xf numFmtId="0" fontId="28" fillId="0" borderId="0" applyFon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47" fillId="75" borderId="54" applyNumberFormat="0" applyAlignment="0" applyProtection="0"/>
    <xf numFmtId="0" fontId="47" fillId="75" borderId="54" applyNumberFormat="0" applyAlignment="0" applyProtection="0"/>
    <xf numFmtId="0" fontId="47" fillId="75" borderId="54" applyNumberFormat="0" applyAlignment="0" applyProtection="0"/>
    <xf numFmtId="0" fontId="47" fillId="75" borderId="54" applyNumberFormat="0" applyAlignment="0" applyProtection="0"/>
    <xf numFmtId="0" fontId="290" fillId="7" borderId="7" applyNumberFormat="0" applyAlignment="0" applyProtection="0"/>
    <xf numFmtId="0" fontId="13" fillId="7" borderId="7" applyNumberFormat="0" applyAlignment="0" applyProtection="0"/>
    <xf numFmtId="0" fontId="47" fillId="75" borderId="54" applyNumberFormat="0" applyAlignment="0" applyProtection="0"/>
    <xf numFmtId="0" fontId="291" fillId="75" borderId="54" applyNumberFormat="0" applyAlignment="0" applyProtection="0"/>
    <xf numFmtId="0" fontId="109" fillId="0" borderId="55" applyNumberFormat="0" applyFill="0" applyAlignment="0" applyProtection="0"/>
    <xf numFmtId="0" fontId="28" fillId="138" borderId="0" applyNumberFormat="0" applyBorder="0" applyAlignment="0" applyProtection="0"/>
    <xf numFmtId="0" fontId="292" fillId="0" borderId="0" applyNumberFormat="0" applyFill="0" applyBorder="0" applyAlignment="0" applyProtection="0"/>
    <xf numFmtId="0" fontId="134" fillId="60" borderId="49" applyNumberFormat="0" applyAlignment="0" applyProtection="0"/>
    <xf numFmtId="0" fontId="134" fillId="60" borderId="49" applyNumberFormat="0" applyAlignment="0" applyProtection="0"/>
    <xf numFmtId="0" fontId="134" fillId="60" borderId="49" applyNumberFormat="0" applyAlignment="0" applyProtection="0"/>
    <xf numFmtId="0" fontId="90" fillId="65" borderId="49" applyNumberFormat="0" applyAlignment="0" applyProtection="0"/>
    <xf numFmtId="0" fontId="90" fillId="65" borderId="49" applyNumberFormat="0" applyAlignment="0" applyProtection="0"/>
    <xf numFmtId="0" fontId="90" fillId="65" borderId="49" applyNumberFormat="0" applyAlignment="0" applyProtection="0"/>
    <xf numFmtId="0" fontId="96" fillId="65" borderId="50" applyNumberFormat="0" applyAlignment="0" applyProtection="0"/>
    <xf numFmtId="0" fontId="96" fillId="65" borderId="50" applyNumberFormat="0" applyAlignment="0" applyProtection="0"/>
    <xf numFmtId="0" fontId="96" fillId="65" borderId="50" applyNumberFormat="0" applyAlignment="0" applyProtection="0"/>
    <xf numFmtId="0" fontId="87" fillId="0" borderId="0" applyNumberFormat="0" applyFill="0" applyBorder="0" applyAlignment="0" applyProtection="0"/>
    <xf numFmtId="259" fontId="99" fillId="0" borderId="0" applyFont="0" applyFill="0" applyBorder="0" applyAlignment="0" applyProtection="0"/>
    <xf numFmtId="260" fontId="99" fillId="0" borderId="0" applyFon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93" fillId="0" borderId="0"/>
    <xf numFmtId="0" fontId="93" fillId="0" borderId="0"/>
    <xf numFmtId="0" fontId="28" fillId="68" borderId="0" applyNumberFormat="0" applyFont="0" applyBorder="0" applyAlignment="0" applyProtection="0"/>
    <xf numFmtId="0" fontId="28" fillId="68" borderId="0" applyNumberFormat="0" applyFont="0" applyBorder="0" applyAlignment="0" applyProtection="0"/>
    <xf numFmtId="0" fontId="28" fillId="68" borderId="0" applyNumberFormat="0" applyFont="0" applyBorder="0" applyAlignment="0" applyProtection="0"/>
    <xf numFmtId="0" fontId="102" fillId="0" borderId="0" applyFont="0" applyFill="0" applyBorder="0" applyProtection="0">
      <alignment horizontal="right"/>
    </xf>
    <xf numFmtId="261" fontId="51" fillId="0" borderId="0" applyFont="0" applyFill="0" applyBorder="0" applyAlignment="0" applyProtection="0"/>
    <xf numFmtId="0" fontId="204" fillId="0" borderId="12">
      <alignment horizontal="right"/>
    </xf>
    <xf numFmtId="0" fontId="47" fillId="75" borderId="54" applyNumberFormat="0" applyAlignment="0" applyProtection="0"/>
    <xf numFmtId="0" fontId="36" fillId="48" borderId="0" applyNumberFormat="0" applyBorder="0" applyAlignment="0" applyProtection="0"/>
    <xf numFmtId="0" fontId="36" fillId="48" borderId="0" applyNumberFormat="0" applyBorder="0" applyAlignment="0" applyProtection="0"/>
    <xf numFmtId="0" fontId="77" fillId="80" borderId="0" applyNumberFormat="0" applyBorder="0" applyAlignment="0" applyProtection="0"/>
    <xf numFmtId="0" fontId="77" fillId="84" borderId="0" applyNumberFormat="0" applyBorder="0" applyAlignment="0" applyProtection="0"/>
    <xf numFmtId="0" fontId="77" fillId="86"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89" borderId="0" applyNumberFormat="0" applyBorder="0" applyAlignment="0" applyProtection="0"/>
    <xf numFmtId="0" fontId="77" fillId="139" borderId="0" applyNumberFormat="0" applyBorder="0" applyAlignment="0" applyProtection="0"/>
    <xf numFmtId="0" fontId="77" fillId="139" borderId="0" applyNumberFormat="0" applyBorder="0" applyAlignment="0" applyProtection="0"/>
    <xf numFmtId="0" fontId="83" fillId="139" borderId="0" applyNumberFormat="0" applyBorder="0" applyAlignment="0" applyProtection="0"/>
    <xf numFmtId="0" fontId="77" fillId="84" borderId="0" applyNumberFormat="0" applyBorder="0" applyAlignment="0" applyProtection="0"/>
    <xf numFmtId="0" fontId="77" fillId="84" borderId="0" applyNumberFormat="0" applyBorder="0" applyAlignment="0" applyProtection="0"/>
    <xf numFmtId="0" fontId="83" fillId="84" borderId="0" applyNumberFormat="0" applyBorder="0" applyAlignment="0" applyProtection="0"/>
    <xf numFmtId="0" fontId="77" fillId="86" borderId="0" applyNumberFormat="0" applyBorder="0" applyAlignment="0" applyProtection="0"/>
    <xf numFmtId="0" fontId="77" fillId="86" borderId="0" applyNumberFormat="0" applyBorder="0" applyAlignment="0" applyProtection="0"/>
    <xf numFmtId="0" fontId="83" fillId="86" borderId="0" applyNumberFormat="0" applyBorder="0" applyAlignment="0" applyProtection="0"/>
    <xf numFmtId="0" fontId="77" fillId="87" borderId="0" applyNumberFormat="0" applyBorder="0" applyAlignment="0" applyProtection="0"/>
    <xf numFmtId="0" fontId="77" fillId="87" borderId="0" applyNumberFormat="0" applyBorder="0" applyAlignment="0" applyProtection="0"/>
    <xf numFmtId="0" fontId="83" fillId="87" borderId="0" applyNumberFormat="0" applyBorder="0" applyAlignment="0" applyProtection="0"/>
    <xf numFmtId="0" fontId="77" fillId="73" borderId="0" applyNumberFormat="0" applyBorder="0" applyAlignment="0" applyProtection="0"/>
    <xf numFmtId="0" fontId="77" fillId="73" borderId="0" applyNumberFormat="0" applyBorder="0" applyAlignment="0" applyProtection="0"/>
    <xf numFmtId="0" fontId="83" fillId="73" borderId="0" applyNumberFormat="0" applyBorder="0" applyAlignment="0" applyProtection="0"/>
    <xf numFmtId="0" fontId="77" fillId="74" borderId="0" applyNumberFormat="0" applyBorder="0" applyAlignment="0" applyProtection="0"/>
    <xf numFmtId="0" fontId="77" fillId="74" borderId="0" applyNumberFormat="0" applyBorder="0" applyAlignment="0" applyProtection="0"/>
    <xf numFmtId="0" fontId="83" fillId="74" borderId="0" applyNumberFormat="0" applyBorder="0" applyAlignment="0" applyProtection="0"/>
    <xf numFmtId="0" fontId="134" fillId="76" borderId="49" applyNumberFormat="0" applyAlignment="0" applyProtection="0"/>
    <xf numFmtId="0" fontId="134" fillId="76" borderId="49" applyNumberFormat="0" applyAlignment="0" applyProtection="0"/>
    <xf numFmtId="0" fontId="134" fillId="76" borderId="49" applyNumberFormat="0" applyAlignment="0" applyProtection="0"/>
    <xf numFmtId="0" fontId="134" fillId="76" borderId="49" applyNumberFormat="0" applyAlignment="0" applyProtection="0"/>
    <xf numFmtId="0" fontId="134" fillId="76" borderId="49" applyNumberFormat="0" applyAlignment="0" applyProtection="0"/>
    <xf numFmtId="0" fontId="134" fillId="76" borderId="49" applyNumberFormat="0" applyAlignment="0" applyProtection="0"/>
    <xf numFmtId="0" fontId="293" fillId="76" borderId="49" applyNumberFormat="0" applyAlignment="0" applyProtection="0"/>
    <xf numFmtId="0" fontId="96" fillId="61" borderId="50" applyNumberFormat="0" applyAlignment="0" applyProtection="0"/>
    <xf numFmtId="0" fontId="96" fillId="61" borderId="50" applyNumberFormat="0" applyAlignment="0" applyProtection="0"/>
    <xf numFmtId="0" fontId="96" fillId="61" borderId="50" applyNumberFormat="0" applyAlignment="0" applyProtection="0"/>
    <xf numFmtId="0" fontId="96" fillId="61" borderId="50" applyNumberFormat="0" applyAlignment="0" applyProtection="0"/>
    <xf numFmtId="0" fontId="96" fillId="61" borderId="50" applyNumberFormat="0" applyAlignment="0" applyProtection="0"/>
    <xf numFmtId="0" fontId="96" fillId="61" borderId="50" applyNumberFormat="0" applyAlignment="0" applyProtection="0"/>
    <xf numFmtId="0" fontId="294" fillId="61" borderId="50" applyNumberFormat="0" applyAlignment="0" applyProtection="0"/>
    <xf numFmtId="0" fontId="90" fillId="61" borderId="49" applyNumberFormat="0" applyAlignment="0" applyProtection="0"/>
    <xf numFmtId="0" fontId="90" fillId="61" borderId="49" applyNumberFormat="0" applyAlignment="0" applyProtection="0"/>
    <xf numFmtId="0" fontId="90" fillId="61" borderId="49" applyNumberFormat="0" applyAlignment="0" applyProtection="0"/>
    <xf numFmtId="0" fontId="90" fillId="61" borderId="49" applyNumberFormat="0" applyAlignment="0" applyProtection="0"/>
    <xf numFmtId="0" fontId="90" fillId="61" borderId="49" applyNumberFormat="0" applyAlignment="0" applyProtection="0"/>
    <xf numFmtId="0" fontId="90" fillId="61" borderId="49" applyNumberFormat="0" applyAlignment="0" applyProtection="0"/>
    <xf numFmtId="0" fontId="295" fillId="61" borderId="49" applyNumberFormat="0" applyAlignment="0" applyProtection="0"/>
    <xf numFmtId="0" fontId="296" fillId="0" borderId="96" applyNumberFormat="0" applyFill="0" applyAlignment="0" applyProtection="0"/>
    <xf numFmtId="0" fontId="297" fillId="0" borderId="97" applyNumberFormat="0" applyFill="0" applyAlignment="0" applyProtection="0"/>
    <xf numFmtId="0" fontId="298" fillId="0" borderId="98" applyNumberFormat="0" applyFill="0" applyAlignment="0" applyProtection="0"/>
    <xf numFmtId="0" fontId="298" fillId="0" borderId="0" applyNumberFormat="0" applyFill="0" applyBorder="0" applyAlignment="0" applyProtection="0"/>
    <xf numFmtId="0" fontId="50" fillId="0" borderId="99" applyNumberFormat="0" applyFill="0" applyAlignment="0" applyProtection="0"/>
    <xf numFmtId="0" fontId="50" fillId="0" borderId="99" applyNumberFormat="0" applyFill="0" applyAlignment="0" applyProtection="0"/>
    <xf numFmtId="0" fontId="50" fillId="0" borderId="99" applyNumberFormat="0" applyFill="0" applyAlignment="0" applyProtection="0"/>
    <xf numFmtId="0" fontId="50" fillId="0" borderId="99" applyNumberFormat="0" applyFill="0" applyAlignment="0" applyProtection="0"/>
    <xf numFmtId="0" fontId="50" fillId="0" borderId="99" applyNumberFormat="0" applyFill="0" applyAlignment="0" applyProtection="0"/>
    <xf numFmtId="0" fontId="299" fillId="0" borderId="99" applyNumberFormat="0" applyFill="0" applyAlignment="0" applyProtection="0"/>
    <xf numFmtId="0" fontId="47" fillId="75" borderId="54" applyNumberFormat="0" applyAlignment="0" applyProtection="0"/>
    <xf numFmtId="0" fontId="47" fillId="75" borderId="54" applyNumberFormat="0" applyAlignment="0" applyProtection="0"/>
    <xf numFmtId="0" fontId="300" fillId="75" borderId="54" applyNumberFormat="0" applyAlignment="0" applyProtection="0"/>
    <xf numFmtId="0" fontId="243" fillId="0" borderId="0" applyNumberFormat="0" applyFill="0" applyBorder="0" applyAlignment="0" applyProtection="0"/>
    <xf numFmtId="0" fontId="243" fillId="0" borderId="0" applyNumberFormat="0" applyFill="0" applyBorder="0" applyAlignment="0" applyProtection="0"/>
    <xf numFmtId="0" fontId="301" fillId="0" borderId="0" applyNumberFormat="0" applyFill="0" applyBorder="0" applyAlignment="0" applyProtection="0"/>
    <xf numFmtId="0" fontId="209" fillId="76" borderId="0" applyNumberFormat="0" applyBorder="0" applyAlignment="0" applyProtection="0"/>
    <xf numFmtId="0" fontId="209" fillId="76" borderId="0" applyNumberFormat="0" applyBorder="0" applyAlignment="0" applyProtection="0"/>
    <xf numFmtId="0" fontId="302" fillId="76"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03" fillId="48" borderId="0" applyNumberFormat="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304" fillId="0" borderId="0" applyNumberFormat="0" applyFill="0" applyBorder="0" applyAlignment="0" applyProtection="0"/>
    <xf numFmtId="0" fontId="28" fillId="62" borderId="100" applyNumberFormat="0" applyFont="0" applyAlignment="0" applyProtection="0"/>
    <xf numFmtId="0" fontId="28" fillId="62" borderId="100" applyNumberFormat="0" applyFont="0" applyAlignment="0" applyProtection="0"/>
    <xf numFmtId="0" fontId="28" fillId="62" borderId="100" applyNumberFormat="0" applyFont="0" applyAlignment="0" applyProtection="0"/>
    <xf numFmtId="0" fontId="28" fillId="62" borderId="100" applyNumberFormat="0" applyFont="0" applyAlignment="0" applyProtection="0"/>
    <xf numFmtId="0" fontId="109" fillId="0" borderId="55" applyNumberFormat="0" applyFill="0" applyAlignment="0" applyProtection="0"/>
    <xf numFmtId="0" fontId="109" fillId="0" borderId="55" applyNumberFormat="0" applyFill="0" applyAlignment="0" applyProtection="0"/>
    <xf numFmtId="0" fontId="305" fillId="0" borderId="55" applyNumberFormat="0" applyFill="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306" fillId="0" borderId="0" applyNumberFormat="0" applyFill="0" applyBorder="0" applyAlignment="0" applyProtection="0"/>
    <xf numFmtId="0" fontId="307" fillId="64" borderId="0" applyNumberFormat="0" applyBorder="0" applyAlignment="0" applyProtection="0"/>
    <xf numFmtId="165" fontId="1" fillId="0" borderId="0" applyFont="0" applyFill="0" applyBorder="0" applyAlignment="0" applyProtection="0"/>
    <xf numFmtId="0" fontId="28"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10" fillId="6" borderId="5"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337" fillId="0" borderId="0"/>
    <xf numFmtId="0" fontId="77" fillId="84" borderId="0" applyNumberFormat="0" applyBorder="0" applyAlignment="0" applyProtection="0"/>
    <xf numFmtId="0" fontId="337" fillId="0" borderId="0"/>
    <xf numFmtId="0" fontId="77" fillId="80" borderId="0" applyNumberFormat="0" applyBorder="0" applyAlignment="0" applyProtection="0"/>
    <xf numFmtId="0" fontId="77" fillId="84" borderId="0" applyNumberFormat="0" applyBorder="0" applyAlignment="0" applyProtection="0"/>
    <xf numFmtId="0" fontId="77" fillId="86" borderId="0" applyNumberFormat="0" applyBorder="0" applyAlignment="0" applyProtection="0"/>
    <xf numFmtId="0" fontId="77" fillId="72" borderId="0" applyNumberFormat="0" applyBorder="0" applyAlignment="0" applyProtection="0"/>
    <xf numFmtId="0" fontId="77" fillId="73" borderId="0" applyNumberFormat="0" applyBorder="0" applyAlignment="0" applyProtection="0"/>
    <xf numFmtId="0" fontId="77" fillId="89" borderId="0" applyNumberFormat="0" applyBorder="0" applyAlignment="0" applyProtection="0"/>
    <xf numFmtId="0" fontId="28" fillId="0" borderId="0"/>
    <xf numFmtId="0" fontId="28" fillId="0" borderId="0"/>
    <xf numFmtId="0" fontId="257" fillId="0" borderId="109" applyNumberFormat="0" applyFill="0" applyBorder="0" applyAlignment="0" applyProtection="0">
      <alignment horizontal="left"/>
    </xf>
    <xf numFmtId="0" fontId="50" fillId="0" borderId="56" applyNumberFormat="0" applyFill="0" applyAlignment="0" applyProtection="0"/>
    <xf numFmtId="0" fontId="77" fillId="84" borderId="0" applyNumberFormat="0" applyBorder="0" applyAlignment="0" applyProtection="0"/>
    <xf numFmtId="2" fontId="203" fillId="0" borderId="109" applyFont="0" applyFill="0" applyBorder="0" applyAlignment="0"/>
    <xf numFmtId="0" fontId="96" fillId="65" borderId="114" applyNumberFormat="0" applyAlignment="0" applyProtection="0"/>
    <xf numFmtId="0" fontId="77" fillId="86" borderId="0" applyNumberFormat="0" applyBorder="0" applyAlignment="0" applyProtection="0"/>
    <xf numFmtId="0" fontId="77" fillId="72" borderId="0" applyNumberFormat="0" applyBorder="0" applyAlignment="0" applyProtection="0"/>
    <xf numFmtId="0" fontId="77" fillId="89" borderId="0" applyNumberFormat="0" applyBorder="0" applyAlignment="0" applyProtection="0"/>
    <xf numFmtId="0" fontId="178" fillId="60" borderId="112" applyNumberFormat="0" applyAlignment="0" applyProtection="0"/>
    <xf numFmtId="0" fontId="77" fillId="73" borderId="0" applyNumberFormat="0" applyBorder="0" applyAlignment="0" applyProtection="0"/>
    <xf numFmtId="0" fontId="99" fillId="0" borderId="0"/>
    <xf numFmtId="0" fontId="99" fillId="0" borderId="0"/>
    <xf numFmtId="0" fontId="28" fillId="0" borderId="0"/>
    <xf numFmtId="0" fontId="28" fillId="0" borderId="0"/>
    <xf numFmtId="2" fontId="203" fillId="0" borderId="109" applyFont="0" applyFill="0" applyBorder="0" applyAlignment="0"/>
    <xf numFmtId="0" fontId="50" fillId="0" borderId="56" applyNumberFormat="0" applyFill="0" applyAlignment="0" applyProtection="0"/>
    <xf numFmtId="0" fontId="102" fillId="0" borderId="110" applyNumberFormat="0" applyFont="0" applyFill="0" applyAlignment="0" applyProtection="0"/>
    <xf numFmtId="4" fontId="72" fillId="91" borderId="114" applyNumberFormat="0" applyProtection="0">
      <alignment horizontal="left" vertical="center" indent="1"/>
    </xf>
    <xf numFmtId="2" fontId="203" fillId="0" borderId="109" applyFont="0" applyFill="0" applyBorder="0" applyAlignment="0"/>
    <xf numFmtId="0" fontId="90" fillId="65" borderId="112" applyNumberFormat="0" applyAlignment="0" applyProtection="0"/>
    <xf numFmtId="4" fontId="72" fillId="91" borderId="114" applyNumberFormat="0" applyProtection="0">
      <alignment vertical="center"/>
    </xf>
    <xf numFmtId="0" fontId="256" fillId="0" borderId="109" applyNumberFormat="0" applyFill="0" applyBorder="0" applyAlignment="0" applyProtection="0">
      <alignment horizontal="left"/>
    </xf>
    <xf numFmtId="0" fontId="50" fillId="0" borderId="111" applyNumberFormat="0" applyFill="0" applyAlignment="0" applyProtection="0"/>
    <xf numFmtId="0" fontId="178" fillId="60" borderId="112" applyNumberFormat="0" applyAlignment="0" applyProtection="0"/>
    <xf numFmtId="0" fontId="77" fillId="80" borderId="0" applyNumberFormat="0" applyBorder="0" applyAlignment="0" applyProtection="0"/>
    <xf numFmtId="0" fontId="50" fillId="0" borderId="56" applyNumberFormat="0" applyFill="0" applyAlignment="0" applyProtection="0"/>
    <xf numFmtId="0" fontId="257" fillId="0" borderId="109" applyNumberFormat="0" applyFill="0" applyBorder="0" applyAlignment="0" applyProtection="0">
      <alignment horizontal="left"/>
    </xf>
    <xf numFmtId="0" fontId="90" fillId="65" borderId="112" applyNumberFormat="0" applyAlignment="0" applyProtection="0"/>
    <xf numFmtId="0" fontId="28" fillId="0" borderId="0"/>
    <xf numFmtId="0" fontId="28" fillId="0" borderId="0"/>
    <xf numFmtId="0" fontId="99" fillId="0" borderId="0"/>
    <xf numFmtId="0" fontId="99" fillId="0" borderId="0"/>
    <xf numFmtId="0" fontId="77" fillId="80" borderId="0" applyNumberFormat="0" applyBorder="0" applyAlignment="0" applyProtection="0"/>
    <xf numFmtId="4" fontId="244" fillId="91" borderId="114" applyNumberFormat="0" applyProtection="0">
      <alignment vertical="center"/>
    </xf>
    <xf numFmtId="0" fontId="337" fillId="0" borderId="0"/>
    <xf numFmtId="0" fontId="77" fillId="72" borderId="0" applyNumberFormat="0" applyBorder="0" applyAlignment="0" applyProtection="0"/>
    <xf numFmtId="0" fontId="77" fillId="73" borderId="0" applyNumberFormat="0" applyBorder="0" applyAlignment="0" applyProtection="0"/>
    <xf numFmtId="0" fontId="77" fillId="89" borderId="0" applyNumberFormat="0" applyBorder="0" applyAlignment="0" applyProtection="0"/>
    <xf numFmtId="0" fontId="77" fillId="86" borderId="0" applyNumberFormat="0" applyBorder="0" applyAlignment="0" applyProtection="0"/>
    <xf numFmtId="186" fontId="28" fillId="95" borderId="53" applyNumberFormat="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5" fontId="1" fillId="0" borderId="0" applyFont="0" applyFill="0" applyBorder="0" applyAlignment="0" applyProtection="0"/>
    <xf numFmtId="9" fontId="1" fillId="0" borderId="0" applyFont="0" applyFill="0" applyBorder="0" applyAlignment="0" applyProtection="0"/>
    <xf numFmtId="0" fontId="1" fillId="0" borderId="0"/>
    <xf numFmtId="195" fontId="1" fillId="0" borderId="0" applyFont="0" applyFill="0" applyBorder="0" applyAlignment="0" applyProtection="0"/>
    <xf numFmtId="9" fontId="1" fillId="0" borderId="0" applyFont="0" applyFill="0" applyBorder="0" applyAlignment="0" applyProtection="0"/>
    <xf numFmtId="0" fontId="1" fillId="0" borderId="0"/>
    <xf numFmtId="195" fontId="1" fillId="0" borderId="0" applyFont="0" applyFill="0" applyBorder="0" applyAlignment="0" applyProtection="0"/>
    <xf numFmtId="9" fontId="1" fillId="0" borderId="0" applyFont="0" applyFill="0" applyBorder="0" applyAlignment="0" applyProtection="0"/>
    <xf numFmtId="0" fontId="1" fillId="0" borderId="0"/>
    <xf numFmtId="195" fontId="1" fillId="0" borderId="0" applyFont="0" applyFill="0" applyBorder="0" applyAlignment="0" applyProtection="0"/>
    <xf numFmtId="9" fontId="1" fillId="0" borderId="0" applyFont="0" applyFill="0" applyBorder="0" applyAlignment="0" applyProtection="0"/>
    <xf numFmtId="0" fontId="1" fillId="0" borderId="0"/>
    <xf numFmtId="19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95" fontId="1" fillId="0" borderId="0" applyFont="0" applyFill="0" applyBorder="0" applyAlignment="0" applyProtection="0"/>
    <xf numFmtId="0" fontId="1" fillId="0" borderId="0"/>
    <xf numFmtId="9" fontId="1" fillId="0" borderId="0" applyFont="0" applyFill="0" applyBorder="0" applyAlignment="0" applyProtection="0"/>
    <xf numFmtId="195" fontId="1" fillId="0" borderId="0" applyFont="0" applyFill="0" applyBorder="0" applyAlignment="0" applyProtection="0"/>
    <xf numFmtId="0" fontId="1" fillId="0" borderId="0"/>
    <xf numFmtId="0" fontId="1" fillId="0" borderId="0"/>
    <xf numFmtId="0" fontId="1" fillId="0" borderId="0"/>
    <xf numFmtId="9" fontId="37" fillId="0" borderId="0" applyFont="0" applyFill="0" applyBorder="0" applyAlignment="0" applyProtection="0"/>
    <xf numFmtId="206" fontId="37" fillId="0" borderId="0" applyFont="0" applyFill="0" applyBorder="0" applyAlignment="0" applyProtection="0"/>
    <xf numFmtId="43" fontId="37" fillId="0" borderId="0" applyFont="0" applyFill="0" applyBorder="0" applyAlignment="0" applyProtection="0"/>
    <xf numFmtId="211" fontId="54" fillId="0" borderId="0" applyFont="0" applyFill="0" applyBorder="0" applyAlignment="0" applyProtection="0"/>
    <xf numFmtId="206" fontId="25" fillId="0" borderId="0" applyFont="0" applyFill="0" applyBorder="0" applyAlignment="0" applyProtection="0"/>
    <xf numFmtId="206" fontId="25"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0" fontId="216" fillId="0" borderId="0"/>
    <xf numFmtId="0" fontId="216" fillId="0" borderId="0"/>
    <xf numFmtId="0" fontId="216" fillId="0" borderId="0"/>
    <xf numFmtId="0" fontId="216" fillId="0" borderId="0"/>
    <xf numFmtId="0" fontId="37" fillId="0" borderId="0"/>
    <xf numFmtId="0" fontId="126" fillId="0" borderId="0"/>
    <xf numFmtId="0" fontId="34" fillId="0" borderId="0"/>
    <xf numFmtId="0" fontId="34" fillId="0" borderId="0"/>
    <xf numFmtId="0" fontId="126" fillId="0" borderId="0"/>
    <xf numFmtId="0" fontId="126" fillId="0" borderId="0"/>
    <xf numFmtId="0" fontId="126" fillId="0" borderId="0"/>
    <xf numFmtId="0" fontId="126" fillId="0" borderId="0"/>
    <xf numFmtId="0" fontId="37" fillId="0" borderId="0"/>
    <xf numFmtId="9" fontId="126" fillId="0" borderId="0" applyFont="0" applyFill="0" applyBorder="0" applyAlignment="0" applyProtection="0"/>
    <xf numFmtId="9" fontId="128" fillId="0" borderId="0" applyFont="0" applyFill="0" applyBorder="0" applyAlignment="0" applyProtection="0"/>
    <xf numFmtId="9" fontId="126" fillId="0" borderId="0" applyFont="0" applyFill="0" applyBorder="0" applyAlignment="0" applyProtection="0"/>
    <xf numFmtId="9" fontId="126"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25" fillId="0" borderId="0" applyFont="0" applyFill="0" applyBorder="0" applyAlignment="0" applyProtection="0"/>
    <xf numFmtId="0" fontId="178" fillId="60" borderId="112" applyNumberFormat="0" applyAlignment="0" applyProtection="0"/>
    <xf numFmtId="4" fontId="72" fillId="101" borderId="114" applyNumberFormat="0" applyProtection="0">
      <alignment horizontal="right" vertical="center"/>
    </xf>
    <xf numFmtId="0" fontId="256" fillId="0" borderId="109" applyNumberFormat="0" applyFill="0" applyBorder="0" applyAlignment="0" applyProtection="0">
      <alignment horizontal="left"/>
    </xf>
    <xf numFmtId="0" fontId="99" fillId="62" borderId="113" applyNumberFormat="0" applyFont="0" applyAlignment="0" applyProtection="0"/>
    <xf numFmtId="0" fontId="96" fillId="65" borderId="114" applyNumberFormat="0" applyAlignment="0" applyProtection="0"/>
    <xf numFmtId="0" fontId="90" fillId="65" borderId="112" applyNumberFormat="0" applyAlignment="0" applyProtection="0"/>
    <xf numFmtId="0" fontId="199" fillId="62" borderId="113" applyNumberFormat="0" applyFont="0" applyAlignment="0" applyProtection="0"/>
    <xf numFmtId="4" fontId="72" fillId="121" borderId="114" applyNumberFormat="0" applyProtection="0">
      <alignment horizontal="right" vertical="center"/>
    </xf>
    <xf numFmtId="4" fontId="72" fillId="118" borderId="114" applyNumberFormat="0" applyProtection="0">
      <alignment horizontal="right" vertical="center"/>
    </xf>
    <xf numFmtId="4" fontId="238" fillId="124" borderId="114" applyNumberFormat="0" applyProtection="0">
      <alignment horizontal="left" vertical="center" indent="1"/>
    </xf>
    <xf numFmtId="0" fontId="61" fillId="54" borderId="79">
      <alignment horizontal="center"/>
    </xf>
    <xf numFmtId="0" fontId="61" fillId="54" borderId="79">
      <alignment horizontal="center"/>
    </xf>
    <xf numFmtId="0" fontId="61" fillId="54" borderId="79">
      <alignment horizontal="center"/>
    </xf>
    <xf numFmtId="0" fontId="61" fillId="54" borderId="79">
      <alignment horizontal="center"/>
    </xf>
    <xf numFmtId="0" fontId="61" fillId="54" borderId="79">
      <alignment horizontal="center"/>
    </xf>
    <xf numFmtId="0" fontId="61" fillId="54" borderId="79">
      <alignment horizontal="center"/>
    </xf>
    <xf numFmtId="4" fontId="51" fillId="0" borderId="79"/>
    <xf numFmtId="4" fontId="51" fillId="0" borderId="79"/>
    <xf numFmtId="4" fontId="51" fillId="0" borderId="79"/>
    <xf numFmtId="4" fontId="51" fillId="0" borderId="79"/>
    <xf numFmtId="4" fontId="51" fillId="0" borderId="79"/>
    <xf numFmtId="4" fontId="51" fillId="0" borderId="79"/>
    <xf numFmtId="0" fontId="62" fillId="0" borderId="79">
      <alignment horizontal="center"/>
    </xf>
    <xf numFmtId="0" fontId="62" fillId="0" borderId="79">
      <alignment horizontal="center"/>
    </xf>
    <xf numFmtId="0" fontId="62" fillId="0" borderId="79">
      <alignment horizontal="center"/>
    </xf>
    <xf numFmtId="0" fontId="62" fillId="0" borderId="79">
      <alignment horizontal="center"/>
    </xf>
    <xf numFmtId="0" fontId="62" fillId="0" borderId="79">
      <alignment horizontal="center"/>
    </xf>
    <xf numFmtId="0" fontId="62" fillId="0" borderId="79">
      <alignment horizontal="center"/>
    </xf>
    <xf numFmtId="0" fontId="63" fillId="55" borderId="79">
      <alignment horizontal="center"/>
    </xf>
    <xf numFmtId="0" fontId="63" fillId="55" borderId="79">
      <alignment horizontal="center"/>
    </xf>
    <xf numFmtId="0" fontId="63" fillId="55" borderId="79">
      <alignment horizontal="center"/>
    </xf>
    <xf numFmtId="0" fontId="63" fillId="55" borderId="79">
      <alignment horizontal="center"/>
    </xf>
    <xf numFmtId="0" fontId="63" fillId="55" borderId="79">
      <alignment horizontal="center"/>
    </xf>
    <xf numFmtId="0" fontId="63" fillId="55" borderId="79">
      <alignment horizontal="center"/>
    </xf>
    <xf numFmtId="0" fontId="61" fillId="54" borderId="79"/>
    <xf numFmtId="0" fontId="61" fillId="54" borderId="79"/>
    <xf numFmtId="0" fontId="61" fillId="54" borderId="79"/>
    <xf numFmtId="0" fontId="61" fillId="54" borderId="79"/>
    <xf numFmtId="0" fontId="61" fillId="54" borderId="79"/>
    <xf numFmtId="0" fontId="61" fillId="54" borderId="79"/>
    <xf numFmtId="0" fontId="134" fillId="60" borderId="112" applyNumberFormat="0" applyAlignment="0" applyProtection="0"/>
    <xf numFmtId="0" fontId="229" fillId="0" borderId="0">
      <protection locked="0"/>
    </xf>
    <xf numFmtId="4" fontId="72" fillId="91" borderId="114" applyNumberFormat="0" applyProtection="0">
      <alignment horizontal="left" vertical="center" indent="1"/>
    </xf>
    <xf numFmtId="0" fontId="134" fillId="60" borderId="112" applyNumberFormat="0" applyAlignment="0" applyProtection="0"/>
    <xf numFmtId="0" fontId="96" fillId="65" borderId="114" applyNumberFormat="0" applyAlignment="0" applyProtection="0"/>
    <xf numFmtId="0" fontId="28" fillId="62" borderId="113" applyNumberFormat="0" applyFont="0" applyAlignment="0" applyProtection="0"/>
    <xf numFmtId="0" fontId="91" fillId="65" borderId="112" applyNumberFormat="0" applyAlignment="0" applyProtection="0"/>
    <xf numFmtId="4" fontId="72" fillId="117" borderId="114" applyNumberFormat="0" applyProtection="0">
      <alignment horizontal="right" vertical="center"/>
    </xf>
    <xf numFmtId="0" fontId="25" fillId="62" borderId="113" applyNumberFormat="0" applyFont="0" applyAlignment="0" applyProtection="0"/>
    <xf numFmtId="0" fontId="238" fillId="0" borderId="115">
      <alignment horizontal="center"/>
    </xf>
    <xf numFmtId="4" fontId="72" fillId="107" borderId="114" applyNumberFormat="0" applyProtection="0">
      <alignment horizontal="right" vertical="center"/>
    </xf>
    <xf numFmtId="0" fontId="96" fillId="65" borderId="114" applyNumberFormat="0" applyAlignment="0" applyProtection="0"/>
    <xf numFmtId="0" fontId="50" fillId="0" borderId="111" applyNumberFormat="0" applyFill="0" applyAlignment="0" applyProtection="0"/>
    <xf numFmtId="0" fontId="178" fillId="60" borderId="112" applyNumberFormat="0" applyAlignment="0" applyProtection="0"/>
    <xf numFmtId="4" fontId="72" fillId="127" borderId="114" applyNumberFormat="0" applyProtection="0">
      <alignment horizontal="left" vertical="center" indent="1"/>
    </xf>
    <xf numFmtId="0" fontId="187" fillId="0" borderId="111" applyNumberFormat="0" applyFill="0" applyAlignment="0" applyProtection="0"/>
    <xf numFmtId="0" fontId="134" fillId="60" borderId="112" applyNumberFormat="0" applyAlignment="0" applyProtection="0"/>
    <xf numFmtId="0" fontId="178" fillId="60" borderId="112" applyNumberFormat="0" applyAlignment="0" applyProtection="0"/>
    <xf numFmtId="4" fontId="72" fillId="119" borderId="114" applyNumberFormat="0" applyProtection="0">
      <alignment horizontal="right" vertical="center"/>
    </xf>
    <xf numFmtId="4" fontId="72" fillId="120" borderId="114" applyNumberFormat="0" applyProtection="0">
      <alignment horizontal="right" vertical="center"/>
    </xf>
    <xf numFmtId="0" fontId="134" fillId="60" borderId="112" applyNumberFormat="0" applyAlignment="0" applyProtection="0"/>
    <xf numFmtId="0" fontId="90" fillId="65" borderId="112" applyNumberFormat="0" applyAlignment="0" applyProtection="0"/>
    <xf numFmtId="0" fontId="99" fillId="62" borderId="113" applyNumberFormat="0" applyFont="0" applyAlignment="0" applyProtection="0"/>
    <xf numFmtId="0" fontId="28" fillId="98" borderId="114" applyNumberFormat="0" applyProtection="0">
      <alignment horizontal="left" vertical="center" indent="1"/>
    </xf>
    <xf numFmtId="4" fontId="72" fillId="123" borderId="114" applyNumberFormat="0" applyProtection="0">
      <alignment horizontal="right" vertical="center"/>
    </xf>
    <xf numFmtId="0" fontId="28" fillId="98" borderId="114" applyNumberFormat="0" applyProtection="0">
      <alignment horizontal="left" vertical="center" indent="1"/>
    </xf>
    <xf numFmtId="0" fontId="225" fillId="65" borderId="114" applyNumberFormat="0" applyAlignment="0" applyProtection="0"/>
    <xf numFmtId="4" fontId="72" fillId="125" borderId="114" applyNumberFormat="0" applyProtection="0">
      <alignment horizontal="left" vertical="center" indent="1"/>
    </xf>
    <xf numFmtId="4" fontId="72" fillId="122" borderId="114" applyNumberFormat="0" applyProtection="0">
      <alignment horizontal="right" vertical="center"/>
    </xf>
    <xf numFmtId="0" fontId="90" fillId="65" borderId="112" applyNumberFormat="0" applyAlignment="0" applyProtection="0"/>
    <xf numFmtId="0" fontId="134" fillId="60" borderId="112" applyNumberFormat="0" applyAlignment="0" applyProtection="0"/>
    <xf numFmtId="0" fontId="96" fillId="65" borderId="114" applyNumberFormat="0" applyAlignment="0" applyProtection="0"/>
    <xf numFmtId="0" fontId="96" fillId="65" borderId="114" applyNumberFormat="0" applyAlignment="0" applyProtection="0"/>
    <xf numFmtId="253" fontId="155" fillId="0" borderId="112">
      <alignment horizontal="center" vertical="center" wrapText="1"/>
    </xf>
    <xf numFmtId="0" fontId="227" fillId="0" borderId="115">
      <alignment horizontal="center" vertical="center"/>
    </xf>
    <xf numFmtId="0" fontId="28" fillId="0" borderId="0" applyBorder="0"/>
    <xf numFmtId="0" fontId="37" fillId="0" borderId="0"/>
    <xf numFmtId="172" fontId="18" fillId="0" borderId="0" applyFont="0" applyFill="0" applyBorder="0" applyAlignment="0" applyProtection="0"/>
    <xf numFmtId="0" fontId="70" fillId="0" borderId="0"/>
    <xf numFmtId="43" fontId="1" fillId="0" borderId="0" applyFont="0" applyFill="0" applyBorder="0" applyAlignment="0" applyProtection="0"/>
    <xf numFmtId="0" fontId="194" fillId="0" borderId="0" applyNumberFormat="0" applyFill="0" applyBorder="0" applyAlignment="0" applyProtection="0"/>
  </cellStyleXfs>
  <cellXfs count="1557">
    <xf numFmtId="0" fontId="0" fillId="0" borderId="0" xfId="0"/>
    <xf numFmtId="170" fontId="326" fillId="0" borderId="0" xfId="6" applyNumberFormat="1" applyFont="1" applyFill="1" applyBorder="1" applyAlignment="1"/>
    <xf numFmtId="170" fontId="326" fillId="0" borderId="0" xfId="12" applyNumberFormat="1" applyFont="1" applyFill="1" applyBorder="1" applyAlignment="1">
      <alignment vertical="center"/>
    </xf>
    <xf numFmtId="10" fontId="326" fillId="0" borderId="0" xfId="12" applyNumberFormat="1" applyFont="1" applyFill="1" applyBorder="1" applyAlignment="1">
      <alignment horizontal="right" vertical="center"/>
    </xf>
    <xf numFmtId="10" fontId="326" fillId="41" borderId="35" xfId="12" applyNumberFormat="1" applyFont="1" applyFill="1" applyBorder="1" applyAlignment="1">
      <alignment horizontal="right" vertical="center"/>
    </xf>
    <xf numFmtId="0" fontId="326" fillId="0" borderId="0" xfId="6" applyFont="1" applyFill="1" applyBorder="1" applyAlignment="1">
      <alignment vertical="center"/>
    </xf>
    <xf numFmtId="170" fontId="334" fillId="0" borderId="0" xfId="6" applyNumberFormat="1" applyFont="1" applyBorder="1" applyAlignment="1"/>
    <xf numFmtId="3" fontId="326" fillId="0" borderId="0" xfId="6" applyNumberFormat="1" applyFont="1" applyFill="1" applyBorder="1" applyAlignment="1">
      <alignment vertical="center"/>
    </xf>
    <xf numFmtId="171" fontId="326" fillId="41" borderId="28" xfId="14" applyNumberFormat="1" applyFont="1" applyFill="1" applyBorder="1" applyAlignment="1"/>
    <xf numFmtId="0" fontId="326" fillId="40" borderId="0" xfId="6" applyFont="1" applyFill="1" applyBorder="1" applyAlignment="1">
      <alignment vertical="center"/>
    </xf>
    <xf numFmtId="171" fontId="326" fillId="41" borderId="29" xfId="14" applyNumberFormat="1" applyFont="1" applyFill="1" applyBorder="1" applyAlignment="1"/>
    <xf numFmtId="170" fontId="326" fillId="0" borderId="0" xfId="6" applyNumberFormat="1" applyFont="1" applyBorder="1" applyAlignment="1"/>
    <xf numFmtId="171" fontId="326" fillId="0" borderId="0" xfId="14" applyNumberFormat="1" applyFont="1" applyFill="1" applyBorder="1" applyAlignment="1"/>
    <xf numFmtId="171" fontId="326" fillId="0" borderId="0" xfId="6" applyNumberFormat="1" applyFont="1" applyFill="1" applyBorder="1" applyAlignment="1"/>
    <xf numFmtId="171" fontId="326" fillId="0" borderId="0" xfId="6" applyNumberFormat="1" applyFont="1" applyBorder="1" applyAlignment="1"/>
    <xf numFmtId="0" fontId="20" fillId="34" borderId="0" xfId="4" applyFont="1" applyFill="1"/>
    <xf numFmtId="0" fontId="21" fillId="34" borderId="0" xfId="4" applyFont="1" applyFill="1"/>
    <xf numFmtId="0" fontId="21" fillId="36" borderId="0" xfId="4" applyFont="1" applyFill="1"/>
    <xf numFmtId="0" fontId="21" fillId="41" borderId="0" xfId="4" applyFont="1" applyFill="1" applyAlignment="1">
      <alignment horizontal="center" vertical="center"/>
    </xf>
    <xf numFmtId="49" fontId="21" fillId="41" borderId="0" xfId="4" applyNumberFormat="1" applyFont="1" applyFill="1" applyAlignment="1">
      <alignment horizontal="center" vertical="center"/>
    </xf>
    <xf numFmtId="0" fontId="21" fillId="41" borderId="0" xfId="4" applyFont="1" applyFill="1"/>
    <xf numFmtId="0" fontId="20" fillId="41" borderId="10" xfId="4" applyFont="1" applyFill="1" applyBorder="1" applyAlignment="1">
      <alignment vertical="center" wrapText="1"/>
    </xf>
    <xf numFmtId="0" fontId="26" fillId="44" borderId="14" xfId="4" applyFont="1" applyFill="1" applyBorder="1" applyAlignment="1">
      <alignment horizontal="center" vertical="center" wrapText="1"/>
    </xf>
    <xf numFmtId="0" fontId="26" fillId="45" borderId="16" xfId="4" applyFont="1" applyFill="1" applyBorder="1" applyAlignment="1">
      <alignment horizontal="center" vertical="center" wrapText="1"/>
    </xf>
    <xf numFmtId="0" fontId="26" fillId="45" borderId="17" xfId="4" applyFont="1" applyFill="1" applyBorder="1" applyAlignment="1">
      <alignment horizontal="center" vertical="center" wrapText="1"/>
    </xf>
    <xf numFmtId="0" fontId="26" fillId="45" borderId="19" xfId="4" applyFont="1" applyFill="1" applyBorder="1" applyAlignment="1">
      <alignment horizontal="center" vertical="center" wrapText="1"/>
    </xf>
    <xf numFmtId="0" fontId="26" fillId="45" borderId="20" xfId="4" applyFont="1" applyFill="1" applyBorder="1" applyAlignment="1">
      <alignment horizontal="center" vertical="center" wrapText="1"/>
    </xf>
    <xf numFmtId="0" fontId="29" fillId="46" borderId="0" xfId="6" applyFont="1" applyFill="1" applyAlignment="1">
      <alignment horizontal="center"/>
    </xf>
    <xf numFmtId="49" fontId="29" fillId="46" borderId="0" xfId="6" applyNumberFormat="1" applyFont="1" applyFill="1" applyAlignment="1"/>
    <xf numFmtId="0" fontId="29" fillId="46" borderId="0" xfId="6" applyFont="1" applyFill="1" applyAlignment="1"/>
    <xf numFmtId="0" fontId="26" fillId="46" borderId="10" xfId="6" applyFont="1" applyFill="1" applyBorder="1" applyAlignment="1"/>
    <xf numFmtId="0" fontId="26" fillId="46" borderId="0" xfId="6" applyFont="1" applyFill="1" applyAlignment="1"/>
    <xf numFmtId="0" fontId="26" fillId="34" borderId="0" xfId="5" applyFont="1" applyFill="1"/>
    <xf numFmtId="0" fontId="21" fillId="0" borderId="0" xfId="6" applyFont="1" applyFill="1" applyAlignment="1">
      <alignment horizontal="center" vertical="center"/>
    </xf>
    <xf numFmtId="49" fontId="21" fillId="0" borderId="0" xfId="2" quotePrefix="1" applyNumberFormat="1" applyFont="1" applyFill="1" applyAlignment="1">
      <alignment horizontal="center" vertical="center"/>
    </xf>
    <xf numFmtId="0" fontId="21" fillId="0" borderId="0" xfId="2" applyFont="1" applyFill="1" applyAlignment="1"/>
    <xf numFmtId="0" fontId="20" fillId="44" borderId="10" xfId="2" applyFont="1" applyFill="1" applyBorder="1" applyAlignment="1"/>
    <xf numFmtId="166" fontId="20" fillId="0" borderId="0" xfId="6" applyNumberFormat="1" applyFont="1" applyFill="1" applyAlignment="1"/>
    <xf numFmtId="0" fontId="20" fillId="34" borderId="0" xfId="5" applyFont="1" applyFill="1"/>
    <xf numFmtId="0" fontId="30" fillId="0" borderId="0" xfId="6" applyFont="1" applyFill="1" applyAlignment="1">
      <alignment horizontal="center" vertical="center"/>
    </xf>
    <xf numFmtId="49" fontId="30" fillId="0" borderId="0" xfId="2" applyNumberFormat="1" applyFont="1" applyFill="1" applyAlignment="1">
      <alignment horizontal="center" vertical="center"/>
    </xf>
    <xf numFmtId="0" fontId="30" fillId="0" borderId="0" xfId="2" applyFont="1" applyFill="1" applyAlignment="1">
      <alignment horizontal="left" indent="2"/>
    </xf>
    <xf numFmtId="0" fontId="31" fillId="0" borderId="10" xfId="2" applyFont="1" applyFill="1" applyBorder="1" applyAlignment="1">
      <alignment horizontal="left" indent="2"/>
    </xf>
    <xf numFmtId="3" fontId="31" fillId="0" borderId="0" xfId="2" applyNumberFormat="1" applyFont="1" applyFill="1" applyBorder="1" applyAlignment="1">
      <alignment horizontal="left" indent="2"/>
    </xf>
    <xf numFmtId="0" fontId="31" fillId="34" borderId="0" xfId="5" applyFont="1" applyFill="1"/>
    <xf numFmtId="0" fontId="31" fillId="0" borderId="10" xfId="2" applyFont="1" applyFill="1" applyBorder="1" applyAlignment="1"/>
    <xf numFmtId="0" fontId="32" fillId="0" borderId="0" xfId="6" applyFont="1" applyFill="1" applyAlignment="1">
      <alignment horizontal="center" vertical="center"/>
    </xf>
    <xf numFmtId="10" fontId="31" fillId="0" borderId="0" xfId="6" applyNumberFormat="1" applyFont="1" applyFill="1" applyAlignment="1"/>
    <xf numFmtId="2" fontId="31" fillId="0" borderId="0" xfId="6" applyNumberFormat="1" applyFont="1" applyFill="1" applyAlignment="1">
      <alignment horizontal="center"/>
    </xf>
    <xf numFmtId="0" fontId="33" fillId="46" borderId="10" xfId="6" applyFont="1" applyFill="1" applyBorder="1" applyAlignment="1"/>
    <xf numFmtId="0" fontId="33" fillId="46" borderId="0" xfId="6" applyFont="1" applyFill="1" applyAlignment="1"/>
    <xf numFmtId="0" fontId="33" fillId="34" borderId="0" xfId="5" applyFont="1" applyFill="1"/>
    <xf numFmtId="0" fontId="21" fillId="0" borderId="0" xfId="6" applyFont="1" applyAlignment="1">
      <alignment horizontal="center" vertical="center"/>
    </xf>
    <xf numFmtId="0" fontId="20" fillId="44" borderId="10" xfId="2" applyNumberFormat="1" applyFont="1" applyFill="1" applyBorder="1" applyAlignment="1"/>
    <xf numFmtId="0" fontId="30" fillId="0" borderId="0" xfId="6" applyFont="1" applyAlignment="1">
      <alignment horizontal="center" vertical="center"/>
    </xf>
    <xf numFmtId="49" fontId="30" fillId="0" borderId="0" xfId="2" quotePrefix="1" applyNumberFormat="1" applyFont="1" applyFill="1" applyAlignment="1">
      <alignment horizontal="center" vertical="center"/>
    </xf>
    <xf numFmtId="0" fontId="34" fillId="0" borderId="0" xfId="3" applyFont="1" applyFill="1" applyAlignment="1">
      <alignment horizontal="center" vertical="center"/>
    </xf>
    <xf numFmtId="0" fontId="35" fillId="0" borderId="0" xfId="3" applyFont="1" applyFill="1" applyAlignment="1">
      <alignment horizontal="center" vertical="center"/>
    </xf>
    <xf numFmtId="0" fontId="30" fillId="0" borderId="0" xfId="3" applyFont="1" applyFill="1" applyAlignment="1">
      <alignment horizontal="center" vertical="center"/>
    </xf>
    <xf numFmtId="0" fontId="21" fillId="0" borderId="0" xfId="7" applyFont="1" applyFill="1" applyAlignment="1"/>
    <xf numFmtId="167" fontId="31" fillId="0" borderId="0" xfId="6" applyNumberFormat="1" applyFont="1" applyFill="1" applyAlignment="1"/>
    <xf numFmtId="0" fontId="21" fillId="0" borderId="0" xfId="8" applyFont="1" applyFill="1" applyAlignment="1"/>
    <xf numFmtId="0" fontId="30" fillId="0" borderId="0" xfId="8" applyFont="1" applyFill="1" applyAlignment="1">
      <alignment horizontal="left" indent="2"/>
    </xf>
    <xf numFmtId="10" fontId="31" fillId="0" borderId="0" xfId="9" applyNumberFormat="1" applyFont="1" applyFill="1" applyAlignment="1"/>
    <xf numFmtId="10" fontId="31" fillId="0" borderId="0" xfId="2" applyNumberFormat="1" applyFont="1" applyFill="1" applyBorder="1" applyAlignment="1"/>
    <xf numFmtId="0" fontId="30" fillId="34" borderId="0" xfId="4" applyFont="1" applyFill="1"/>
    <xf numFmtId="169" fontId="31" fillId="0" borderId="0" xfId="6" applyNumberFormat="1" applyFont="1" applyFill="1" applyAlignment="1"/>
    <xf numFmtId="0" fontId="21" fillId="34" borderId="0" xfId="11" applyFont="1" applyFill="1" applyAlignment="1">
      <alignment horizontal="center" vertical="center"/>
    </xf>
    <xf numFmtId="49" fontId="21" fillId="34" borderId="0" xfId="11" applyNumberFormat="1" applyFont="1" applyFill="1" applyAlignment="1">
      <alignment horizontal="center" vertical="center"/>
    </xf>
    <xf numFmtId="0" fontId="21" fillId="34" borderId="0" xfId="11" applyFont="1" applyFill="1"/>
    <xf numFmtId="0" fontId="20" fillId="34" borderId="0" xfId="11" applyFont="1" applyFill="1"/>
    <xf numFmtId="0" fontId="21" fillId="34" borderId="0" xfId="4" applyFont="1" applyFill="1" applyAlignment="1">
      <alignment horizontal="center" vertical="center"/>
    </xf>
    <xf numFmtId="49" fontId="21" fillId="34" borderId="0" xfId="4" applyNumberFormat="1" applyFont="1" applyFill="1" applyAlignment="1">
      <alignment horizontal="center" vertical="center"/>
    </xf>
    <xf numFmtId="0" fontId="38" fillId="0" borderId="0" xfId="6" applyFont="1" applyAlignment="1"/>
    <xf numFmtId="0" fontId="39" fillId="0" borderId="0" xfId="5" applyFont="1"/>
    <xf numFmtId="0" fontId="39" fillId="0" borderId="0" xfId="6" applyFont="1" applyBorder="1" applyAlignment="1"/>
    <xf numFmtId="0" fontId="39" fillId="0" borderId="0" xfId="6" applyFont="1" applyFill="1" applyAlignment="1"/>
    <xf numFmtId="0" fontId="38" fillId="0" borderId="21" xfId="6" applyFont="1" applyBorder="1" applyAlignment="1"/>
    <xf numFmtId="0" fontId="39" fillId="0" borderId="0" xfId="5" applyFont="1" applyBorder="1" applyAlignment="1"/>
    <xf numFmtId="0" fontId="39" fillId="0" borderId="0" xfId="6" applyFont="1" applyFill="1" applyBorder="1" applyAlignment="1"/>
    <xf numFmtId="0" fontId="38" fillId="0" borderId="22" xfId="6" applyFont="1" applyBorder="1" applyAlignment="1"/>
    <xf numFmtId="0" fontId="38" fillId="0" borderId="23" xfId="6" applyFont="1" applyBorder="1" applyAlignment="1"/>
    <xf numFmtId="0" fontId="39" fillId="0" borderId="0" xfId="5" applyFont="1" applyAlignment="1">
      <alignment vertical="center"/>
    </xf>
    <xf numFmtId="0" fontId="39" fillId="0" borderId="0" xfId="5" applyFont="1" applyFill="1"/>
    <xf numFmtId="0" fontId="38" fillId="45" borderId="14" xfId="5" applyFont="1" applyFill="1" applyBorder="1" applyAlignment="1">
      <alignment horizontal="center" wrapText="1"/>
    </xf>
    <xf numFmtId="0" fontId="38" fillId="45" borderId="15" xfId="0" applyFont="1" applyFill="1" applyBorder="1" applyAlignment="1">
      <alignment horizontal="center" wrapText="1"/>
    </xf>
    <xf numFmtId="0" fontId="38" fillId="45" borderId="16" xfId="0" applyFont="1" applyFill="1" applyBorder="1" applyAlignment="1">
      <alignment horizontal="center" wrapText="1"/>
    </xf>
    <xf numFmtId="0" fontId="38" fillId="45" borderId="17" xfId="0" applyFont="1" applyFill="1" applyBorder="1" applyAlignment="1">
      <alignment horizontal="center" wrapText="1"/>
    </xf>
    <xf numFmtId="0" fontId="38" fillId="0" borderId="0" xfId="0" applyFont="1" applyFill="1" applyBorder="1" applyAlignment="1">
      <alignment horizontal="center" wrapText="1"/>
    </xf>
    <xf numFmtId="0" fontId="39" fillId="0" borderId="0" xfId="5" applyFont="1" applyAlignment="1"/>
    <xf numFmtId="0" fontId="39" fillId="0" borderId="0" xfId="6" applyFont="1" applyAlignment="1"/>
    <xf numFmtId="0" fontId="38" fillId="0" borderId="0" xfId="6" applyFont="1" applyBorder="1" applyAlignment="1">
      <alignment vertical="center"/>
    </xf>
    <xf numFmtId="3" fontId="39" fillId="0" borderId="0" xfId="6" applyNumberFormat="1" applyFont="1" applyFill="1" applyBorder="1" applyAlignment="1">
      <alignment vertical="center"/>
    </xf>
    <xf numFmtId="0" fontId="39" fillId="0" borderId="0" xfId="6" applyFont="1" applyFill="1" applyBorder="1" applyAlignment="1">
      <alignment vertical="center"/>
    </xf>
    <xf numFmtId="3" fontId="39" fillId="0" borderId="12" xfId="6" applyNumberFormat="1" applyFont="1" applyFill="1" applyBorder="1" applyAlignment="1">
      <alignment vertical="center"/>
    </xf>
    <xf numFmtId="0" fontId="39" fillId="0" borderId="26" xfId="6" applyFont="1" applyBorder="1" applyAlignment="1"/>
    <xf numFmtId="0" fontId="39" fillId="0" borderId="21" xfId="6" applyFont="1" applyBorder="1" applyAlignment="1"/>
    <xf numFmtId="3" fontId="39" fillId="0" borderId="0" xfId="0" applyNumberFormat="1" applyFont="1" applyFill="1" applyBorder="1" applyAlignment="1"/>
    <xf numFmtId="3" fontId="39" fillId="0" borderId="27" xfId="0" applyNumberFormat="1" applyFont="1" applyFill="1" applyBorder="1" applyAlignment="1"/>
    <xf numFmtId="3" fontId="39" fillId="0" borderId="28" xfId="0" applyNumberFormat="1" applyFont="1" applyFill="1" applyBorder="1" applyAlignment="1"/>
    <xf numFmtId="3" fontId="39" fillId="0" borderId="28" xfId="6" applyNumberFormat="1" applyFont="1" applyBorder="1" applyAlignment="1"/>
    <xf numFmtId="3" fontId="39" fillId="0" borderId="29" xfId="6" applyNumberFormat="1" applyFont="1" applyBorder="1" applyAlignment="1"/>
    <xf numFmtId="0" fontId="39" fillId="0" borderId="25" xfId="6" applyFont="1" applyBorder="1" applyAlignment="1"/>
    <xf numFmtId="3" fontId="39" fillId="0" borderId="30" xfId="0" applyNumberFormat="1" applyFont="1" applyFill="1" applyBorder="1" applyAlignment="1"/>
    <xf numFmtId="3" fontId="39" fillId="0" borderId="31" xfId="0" applyNumberFormat="1" applyFont="1" applyFill="1" applyBorder="1" applyAlignment="1"/>
    <xf numFmtId="3" fontId="39" fillId="0" borderId="31" xfId="6" applyNumberFormat="1" applyFont="1" applyBorder="1" applyAlignment="1"/>
    <xf numFmtId="3" fontId="39" fillId="0" borderId="32" xfId="6" applyNumberFormat="1" applyFont="1" applyBorder="1" applyAlignment="1"/>
    <xf numFmtId="3" fontId="39" fillId="0" borderId="0" xfId="6" applyNumberFormat="1" applyFont="1" applyFill="1" applyBorder="1" applyAlignment="1"/>
    <xf numFmtId="0" fontId="38" fillId="0" borderId="25" xfId="6" applyFont="1" applyBorder="1" applyAlignment="1">
      <alignment horizontal="left"/>
    </xf>
    <xf numFmtId="3" fontId="38" fillId="0" borderId="30" xfId="6" applyNumberFormat="1" applyFont="1" applyFill="1" applyBorder="1" applyAlignment="1"/>
    <xf numFmtId="3" fontId="38" fillId="0" borderId="31" xfId="6" applyNumberFormat="1" applyFont="1" applyFill="1" applyBorder="1" applyAlignment="1"/>
    <xf numFmtId="171" fontId="38" fillId="0" borderId="31" xfId="6" applyNumberFormat="1" applyFont="1" applyBorder="1" applyAlignment="1"/>
    <xf numFmtId="0" fontId="38" fillId="0" borderId="0" xfId="5" applyFont="1"/>
    <xf numFmtId="0" fontId="39" fillId="0" borderId="23" xfId="6" applyFont="1" applyBorder="1" applyAlignment="1">
      <alignment horizontal="left" indent="3"/>
    </xf>
    <xf numFmtId="0" fontId="39" fillId="0" borderId="0" xfId="6" applyFont="1" applyBorder="1" applyAlignment="1">
      <alignment horizontal="left" indent="1"/>
    </xf>
    <xf numFmtId="170" fontId="39" fillId="0" borderId="33" xfId="6" applyNumberFormat="1" applyFont="1" applyFill="1" applyBorder="1" applyAlignment="1"/>
    <xf numFmtId="170" fontId="39" fillId="0" borderId="34" xfId="6" applyNumberFormat="1" applyFont="1" applyFill="1" applyBorder="1" applyAlignment="1"/>
    <xf numFmtId="170" fontId="39" fillId="0" borderId="35" xfId="6" applyNumberFormat="1" applyFont="1" applyFill="1" applyBorder="1" applyAlignment="1"/>
    <xf numFmtId="171" fontId="39" fillId="0" borderId="0" xfId="6" applyNumberFormat="1" applyFont="1" applyFill="1" applyBorder="1" applyAlignment="1"/>
    <xf numFmtId="170" fontId="39" fillId="0" borderId="0" xfId="6" applyNumberFormat="1" applyFont="1" applyFill="1" applyBorder="1" applyAlignment="1"/>
    <xf numFmtId="0" fontId="39" fillId="0" borderId="22" xfId="6" applyFont="1" applyBorder="1" applyAlignment="1"/>
    <xf numFmtId="3" fontId="39" fillId="0" borderId="27" xfId="6" applyNumberFormat="1" applyFont="1" applyFill="1" applyBorder="1" applyAlignment="1"/>
    <xf numFmtId="3" fontId="39" fillId="0" borderId="28" xfId="6" applyNumberFormat="1" applyFont="1" applyFill="1" applyBorder="1" applyAlignment="1"/>
    <xf numFmtId="171" fontId="39" fillId="0" borderId="28" xfId="6" applyNumberFormat="1" applyFont="1" applyBorder="1" applyAlignment="1"/>
    <xf numFmtId="171" fontId="39" fillId="0" borderId="36" xfId="6" applyNumberFormat="1" applyFont="1" applyBorder="1" applyAlignment="1"/>
    <xf numFmtId="3" fontId="39" fillId="0" borderId="30" xfId="6" applyNumberFormat="1" applyFont="1" applyFill="1" applyBorder="1" applyAlignment="1"/>
    <xf numFmtId="3" fontId="39" fillId="0" borderId="31" xfId="6" applyNumberFormat="1" applyFont="1" applyFill="1" applyBorder="1" applyAlignment="1"/>
    <xf numFmtId="171" fontId="39" fillId="0" borderId="31" xfId="6" applyNumberFormat="1" applyFont="1" applyFill="1" applyBorder="1" applyAlignment="1"/>
    <xf numFmtId="171" fontId="39" fillId="0" borderId="10" xfId="6" applyNumberFormat="1" applyFont="1" applyFill="1" applyBorder="1" applyAlignment="1"/>
    <xf numFmtId="3" fontId="39" fillId="0" borderId="0" xfId="5" applyNumberFormat="1" applyFont="1"/>
    <xf numFmtId="0" fontId="38" fillId="0" borderId="22" xfId="6" applyFont="1" applyBorder="1" applyAlignment="1">
      <alignment horizontal="left"/>
    </xf>
    <xf numFmtId="3" fontId="38" fillId="0" borderId="31" xfId="6" applyNumberFormat="1" applyFont="1" applyBorder="1" applyAlignment="1"/>
    <xf numFmtId="171" fontId="38" fillId="0" borderId="10" xfId="6" applyNumberFormat="1" applyFont="1" applyBorder="1" applyAlignment="1"/>
    <xf numFmtId="170" fontId="39" fillId="0" borderId="0" xfId="6" applyNumberFormat="1" applyFont="1" applyBorder="1" applyAlignment="1"/>
    <xf numFmtId="0" fontId="39" fillId="0" borderId="21" xfId="5" applyFont="1" applyFill="1" applyBorder="1"/>
    <xf numFmtId="171" fontId="39" fillId="0" borderId="28" xfId="6" applyNumberFormat="1" applyFont="1" applyFill="1" applyBorder="1" applyAlignment="1"/>
    <xf numFmtId="171" fontId="39" fillId="0" borderId="36" xfId="6" applyNumberFormat="1" applyFont="1" applyFill="1" applyBorder="1" applyAlignment="1"/>
    <xf numFmtId="0" fontId="39" fillId="0" borderId="22" xfId="5" applyFont="1" applyFill="1" applyBorder="1"/>
    <xf numFmtId="0" fontId="39" fillId="0" borderId="23" xfId="5" applyFont="1" applyFill="1" applyBorder="1"/>
    <xf numFmtId="3" fontId="39" fillId="0" borderId="34" xfId="6" applyNumberFormat="1" applyFont="1" applyFill="1" applyBorder="1" applyAlignment="1"/>
    <xf numFmtId="171" fontId="39" fillId="0" borderId="34" xfId="6" applyNumberFormat="1" applyFont="1" applyFill="1" applyBorder="1" applyAlignment="1"/>
    <xf numFmtId="171" fontId="39" fillId="0" borderId="13" xfId="6" applyNumberFormat="1" applyFont="1" applyFill="1" applyBorder="1" applyAlignment="1"/>
    <xf numFmtId="0" fontId="39" fillId="40" borderId="0" xfId="6" applyFont="1" applyFill="1" applyBorder="1" applyAlignment="1">
      <alignment vertical="center"/>
    </xf>
    <xf numFmtId="0" fontId="39" fillId="0" borderId="12" xfId="6" applyFont="1" applyFill="1" applyBorder="1" applyAlignment="1">
      <alignment vertical="center"/>
    </xf>
    <xf numFmtId="0" fontId="39" fillId="0" borderId="21" xfId="6" applyFont="1" applyFill="1" applyBorder="1" applyAlignment="1">
      <alignment vertical="center"/>
    </xf>
    <xf numFmtId="10" fontId="39" fillId="0" borderId="28" xfId="12" applyNumberFormat="1" applyFont="1" applyFill="1" applyBorder="1" applyAlignment="1">
      <alignment horizontal="right" vertical="center"/>
    </xf>
    <xf numFmtId="170" fontId="39" fillId="0" borderId="28" xfId="12" applyNumberFormat="1" applyFont="1" applyFill="1" applyBorder="1" applyAlignment="1">
      <alignment vertical="center"/>
    </xf>
    <xf numFmtId="170" fontId="39" fillId="0" borderId="36" xfId="12" applyNumberFormat="1" applyFont="1" applyFill="1" applyBorder="1" applyAlignment="1">
      <alignment vertical="center"/>
    </xf>
    <xf numFmtId="0" fontId="39" fillId="0" borderId="22" xfId="6" applyFont="1" applyFill="1" applyBorder="1" applyAlignment="1">
      <alignment vertical="center"/>
    </xf>
    <xf numFmtId="10" fontId="39" fillId="0" borderId="30" xfId="12" applyNumberFormat="1" applyFont="1" applyFill="1" applyBorder="1" applyAlignment="1">
      <alignment horizontal="right" vertical="center"/>
    </xf>
    <xf numFmtId="10" fontId="39" fillId="0" borderId="31" xfId="12" applyNumberFormat="1" applyFont="1" applyFill="1" applyBorder="1" applyAlignment="1">
      <alignment horizontal="right" vertical="center"/>
    </xf>
    <xf numFmtId="170" fontId="39" fillId="0" borderId="31" xfId="12" applyNumberFormat="1" applyFont="1" applyFill="1" applyBorder="1" applyAlignment="1">
      <alignment vertical="center"/>
    </xf>
    <xf numFmtId="170" fontId="39" fillId="0" borderId="10" xfId="12" applyNumberFormat="1" applyFont="1" applyFill="1" applyBorder="1" applyAlignment="1">
      <alignment vertical="center"/>
    </xf>
    <xf numFmtId="0" fontId="39" fillId="0" borderId="23" xfId="6" applyFont="1" applyFill="1" applyBorder="1" applyAlignment="1">
      <alignment vertical="center"/>
    </xf>
    <xf numFmtId="10" fontId="39" fillId="0" borderId="33" xfId="12" applyNumberFormat="1" applyFont="1" applyFill="1" applyBorder="1" applyAlignment="1">
      <alignment horizontal="right" vertical="center"/>
    </xf>
    <xf numFmtId="10" fontId="39" fillId="0" borderId="34" xfId="12" applyNumberFormat="1" applyFont="1" applyFill="1" applyBorder="1" applyAlignment="1">
      <alignment horizontal="right" vertical="center"/>
    </xf>
    <xf numFmtId="10" fontId="39" fillId="0" borderId="34" xfId="12" applyNumberFormat="1" applyFont="1" applyBorder="1" applyAlignment="1">
      <alignment vertical="center"/>
    </xf>
    <xf numFmtId="170" fontId="39" fillId="0" borderId="34" xfId="12" applyNumberFormat="1" applyFont="1" applyFill="1" applyBorder="1" applyAlignment="1"/>
    <xf numFmtId="170" fontId="39" fillId="0" borderId="13" xfId="12" applyNumberFormat="1" applyFont="1" applyFill="1" applyBorder="1" applyAlignment="1"/>
    <xf numFmtId="10" fontId="39" fillId="0" borderId="0" xfId="12" applyNumberFormat="1" applyFont="1" applyFill="1" applyBorder="1" applyAlignment="1">
      <alignment horizontal="right" vertical="center"/>
    </xf>
    <xf numFmtId="10" fontId="39" fillId="0" borderId="0" xfId="12" applyNumberFormat="1" applyFont="1" applyBorder="1" applyAlignment="1">
      <alignment vertical="center"/>
    </xf>
    <xf numFmtId="170" fontId="39" fillId="0" borderId="0" xfId="12" applyNumberFormat="1" applyFont="1" applyFill="1" applyBorder="1" applyAlignment="1"/>
    <xf numFmtId="0" fontId="38" fillId="0" borderId="0" xfId="6" applyFont="1" applyFill="1" applyBorder="1" applyAlignment="1">
      <alignment vertical="top"/>
    </xf>
    <xf numFmtId="0" fontId="39" fillId="0" borderId="14" xfId="5" applyFont="1" applyFill="1" applyBorder="1" applyAlignment="1">
      <alignment horizontal="left"/>
    </xf>
    <xf numFmtId="171" fontId="39" fillId="0" borderId="16" xfId="14" applyNumberFormat="1" applyFont="1" applyFill="1" applyBorder="1" applyAlignment="1"/>
    <xf numFmtId="3" fontId="39" fillId="0" borderId="16" xfId="14" applyNumberFormat="1" applyFont="1" applyFill="1" applyBorder="1" applyAlignment="1"/>
    <xf numFmtId="0" fontId="38" fillId="0" borderId="0" xfId="6" applyFont="1" applyBorder="1" applyAlignment="1">
      <alignment vertical="top"/>
    </xf>
    <xf numFmtId="171" fontId="39" fillId="0" borderId="0" xfId="6" applyNumberFormat="1" applyFont="1" applyBorder="1" applyAlignment="1"/>
    <xf numFmtId="3" fontId="39" fillId="0" borderId="35" xfId="6" applyNumberFormat="1" applyFont="1" applyFill="1" applyBorder="1" applyAlignment="1"/>
    <xf numFmtId="0" fontId="39" fillId="0" borderId="21" xfId="5" applyFont="1" applyFill="1" applyBorder="1" applyAlignment="1">
      <alignment horizontal="left"/>
    </xf>
    <xf numFmtId="0" fontId="39" fillId="0" borderId="0" xfId="6" applyFont="1" applyFill="1" applyBorder="1" applyAlignment="1">
      <alignment vertical="center" wrapText="1"/>
    </xf>
    <xf numFmtId="0" fontId="42" fillId="0" borderId="0" xfId="6" applyFont="1" applyFill="1" applyBorder="1" applyAlignment="1"/>
    <xf numFmtId="171" fontId="39" fillId="0" borderId="0" xfId="14" applyNumberFormat="1" applyFont="1" applyFill="1" applyBorder="1" applyAlignment="1"/>
    <xf numFmtId="0" fontId="39" fillId="0" borderId="21" xfId="6" applyFont="1" applyFill="1" applyBorder="1" applyAlignment="1">
      <alignment vertical="center" wrapText="1"/>
    </xf>
    <xf numFmtId="0" fontId="38" fillId="0" borderId="23" xfId="5" applyFont="1" applyFill="1" applyBorder="1"/>
    <xf numFmtId="3" fontId="38" fillId="0" borderId="33" xfId="6" applyNumberFormat="1" applyFont="1" applyFill="1" applyBorder="1" applyAlignment="1"/>
    <xf numFmtId="3" fontId="38" fillId="0" borderId="34" xfId="6" applyNumberFormat="1" applyFont="1" applyFill="1" applyBorder="1" applyAlignment="1"/>
    <xf numFmtId="171" fontId="38" fillId="0" borderId="34" xfId="6" applyNumberFormat="1" applyFont="1" applyBorder="1" applyAlignment="1"/>
    <xf numFmtId="171" fontId="38" fillId="0" borderId="13" xfId="6" applyNumberFormat="1" applyFont="1" applyBorder="1" applyAlignment="1"/>
    <xf numFmtId="0" fontId="44" fillId="0" borderId="0" xfId="5" applyFont="1"/>
    <xf numFmtId="10" fontId="39" fillId="0" borderId="27" xfId="12" applyNumberFormat="1" applyFont="1" applyFill="1" applyBorder="1" applyAlignment="1"/>
    <xf numFmtId="10" fontId="39" fillId="0" borderId="28" xfId="12" applyNumberFormat="1" applyFont="1" applyFill="1" applyBorder="1" applyAlignment="1"/>
    <xf numFmtId="10" fontId="39" fillId="0" borderId="0" xfId="13" applyNumberFormat="1" applyFont="1" applyFill="1" applyBorder="1" applyAlignment="1"/>
    <xf numFmtId="10" fontId="39" fillId="0" borderId="36" xfId="12" applyNumberFormat="1" applyFont="1" applyFill="1" applyBorder="1" applyAlignment="1"/>
    <xf numFmtId="0" fontId="45" fillId="0" borderId="0" xfId="5" applyFont="1"/>
    <xf numFmtId="173" fontId="39" fillId="0" borderId="30" xfId="12" applyNumberFormat="1" applyFont="1" applyFill="1" applyBorder="1" applyAlignment="1"/>
    <xf numFmtId="173" fontId="39" fillId="0" borderId="31" xfId="12" applyNumberFormat="1" applyFont="1" applyFill="1" applyBorder="1" applyAlignment="1"/>
    <xf numFmtId="173" fontId="39" fillId="0" borderId="10" xfId="12" applyNumberFormat="1" applyFont="1" applyFill="1" applyBorder="1" applyAlignment="1"/>
    <xf numFmtId="0" fontId="38" fillId="0" borderId="22" xfId="5" applyFont="1" applyFill="1" applyBorder="1"/>
    <xf numFmtId="0" fontId="38" fillId="0" borderId="0" xfId="6" applyFont="1" applyFill="1" applyBorder="1" applyAlignment="1"/>
    <xf numFmtId="171" fontId="38" fillId="0" borderId="31" xfId="14" applyNumberFormat="1" applyFont="1" applyBorder="1" applyAlignment="1"/>
    <xf numFmtId="171" fontId="38" fillId="0" borderId="10" xfId="14" applyNumberFormat="1" applyFont="1" applyBorder="1" applyAlignment="1"/>
    <xf numFmtId="0" fontId="39" fillId="0" borderId="22" xfId="6" applyFont="1" applyFill="1" applyBorder="1" applyAlignment="1">
      <alignment horizontal="left" indent="3"/>
    </xf>
    <xf numFmtId="170" fontId="39" fillId="0" borderId="31" xfId="12" applyNumberFormat="1" applyFont="1" applyBorder="1" applyAlignment="1"/>
    <xf numFmtId="170" fontId="39" fillId="0" borderId="0" xfId="13" applyNumberFormat="1" applyFont="1" applyFill="1" applyBorder="1" applyAlignment="1"/>
    <xf numFmtId="170" fontId="39" fillId="0" borderId="10" xfId="12" applyNumberFormat="1" applyFont="1" applyBorder="1" applyAlignment="1"/>
    <xf numFmtId="0" fontId="38" fillId="0" borderId="22" xfId="5" applyFont="1" applyFill="1" applyBorder="1" applyAlignment="1">
      <alignment horizontal="left"/>
    </xf>
    <xf numFmtId="0" fontId="38" fillId="0" borderId="0" xfId="5" applyFont="1" applyFill="1" applyBorder="1" applyAlignment="1">
      <alignment vertical="center"/>
    </xf>
    <xf numFmtId="171" fontId="38" fillId="0" borderId="30" xfId="6" applyNumberFormat="1" applyFont="1" applyBorder="1" applyAlignment="1"/>
    <xf numFmtId="4" fontId="38" fillId="0" borderId="30" xfId="6" applyNumberFormat="1" applyFont="1" applyBorder="1" applyAlignment="1"/>
    <xf numFmtId="4" fontId="38" fillId="0" borderId="31" xfId="6" applyNumberFormat="1" applyFont="1" applyBorder="1" applyAlignment="1"/>
    <xf numFmtId="4" fontId="38" fillId="0" borderId="31" xfId="6" applyNumberFormat="1" applyFont="1" applyFill="1" applyBorder="1" applyAlignment="1"/>
    <xf numFmtId="4" fontId="38" fillId="0" borderId="31" xfId="14" applyNumberFormat="1" applyFont="1" applyBorder="1" applyAlignment="1"/>
    <xf numFmtId="0" fontId="39" fillId="0" borderId="23" xfId="6" applyFont="1" applyFill="1" applyBorder="1" applyAlignment="1">
      <alignment horizontal="left" indent="3"/>
    </xf>
    <xf numFmtId="170" fontId="39" fillId="0" borderId="34" xfId="12" applyNumberFormat="1" applyFont="1" applyBorder="1" applyAlignment="1"/>
    <xf numFmtId="170" fontId="39" fillId="0" borderId="13" xfId="12" applyNumberFormat="1" applyFont="1" applyBorder="1" applyAlignment="1"/>
    <xf numFmtId="0" fontId="39" fillId="0" borderId="0" xfId="6" applyFont="1" applyFill="1" applyBorder="1" applyAlignment="1">
      <alignment horizontal="left" indent="3"/>
    </xf>
    <xf numFmtId="0" fontId="46" fillId="0" borderId="0" xfId="5" applyFont="1" applyFill="1"/>
    <xf numFmtId="0" fontId="46" fillId="0" borderId="0" xfId="5" applyFont="1" applyFill="1" applyBorder="1" applyAlignment="1">
      <alignment vertical="center"/>
    </xf>
    <xf numFmtId="0" fontId="42" fillId="0" borderId="0" xfId="6" applyFont="1" applyBorder="1" applyAlignment="1">
      <alignment vertical="top"/>
    </xf>
    <xf numFmtId="10" fontId="39" fillId="0" borderId="0" xfId="13" applyNumberFormat="1" applyFont="1" applyFill="1" applyBorder="1" applyAlignment="1">
      <alignment vertical="center"/>
    </xf>
    <xf numFmtId="170" fontId="39" fillId="0" borderId="0" xfId="1" applyNumberFormat="1" applyFont="1" applyFill="1"/>
    <xf numFmtId="0" fontId="39" fillId="0" borderId="0" xfId="6" applyFont="1" applyFill="1" applyBorder="1" applyAlignment="1">
      <alignment vertical="top"/>
    </xf>
    <xf numFmtId="0" fontId="39" fillId="0" borderId="0" xfId="14" applyFont="1" applyBorder="1" applyAlignment="1">
      <alignment vertical="top"/>
    </xf>
    <xf numFmtId="10" fontId="39" fillId="0" borderId="0" xfId="9" applyNumberFormat="1" applyFont="1" applyFill="1" applyBorder="1" applyAlignment="1">
      <alignment vertical="center"/>
    </xf>
    <xf numFmtId="10" fontId="46" fillId="0" borderId="0" xfId="13" applyNumberFormat="1" applyFont="1" applyFill="1" applyBorder="1" applyAlignment="1">
      <alignment vertical="center"/>
    </xf>
    <xf numFmtId="3" fontId="38" fillId="0" borderId="0" xfId="6" applyNumberFormat="1" applyFont="1" applyBorder="1" applyAlignment="1">
      <alignment vertical="center"/>
    </xf>
    <xf numFmtId="170" fontId="39" fillId="0" borderId="0" xfId="12" applyNumberFormat="1" applyFont="1" applyFill="1" applyBorder="1" applyAlignment="1">
      <alignment vertical="center"/>
    </xf>
    <xf numFmtId="170" fontId="39" fillId="0" borderId="0" xfId="12" applyNumberFormat="1" applyFont="1" applyBorder="1" applyAlignment="1">
      <alignment vertical="center"/>
    </xf>
    <xf numFmtId="3" fontId="38" fillId="0" borderId="32" xfId="6" applyNumberFormat="1" applyFont="1" applyFill="1" applyBorder="1" applyAlignment="1"/>
    <xf numFmtId="3" fontId="38" fillId="0" borderId="35" xfId="6" applyNumberFormat="1" applyFont="1" applyFill="1" applyBorder="1" applyAlignment="1"/>
    <xf numFmtId="0" fontId="39" fillId="0" borderId="0" xfId="5" applyFont="1" applyBorder="1"/>
    <xf numFmtId="0" fontId="308" fillId="0" borderId="0" xfId="0" applyFont="1"/>
    <xf numFmtId="0" fontId="49" fillId="0" borderId="0" xfId="5" applyFont="1" applyAlignment="1">
      <alignment horizontal="center"/>
    </xf>
    <xf numFmtId="0" fontId="309" fillId="0" borderId="0" xfId="5" applyFont="1"/>
    <xf numFmtId="0" fontId="310" fillId="0" borderId="0" xfId="5" applyFont="1" applyAlignment="1">
      <alignment horizontal="right"/>
    </xf>
    <xf numFmtId="0" fontId="49" fillId="0" borderId="21" xfId="5" applyFont="1" applyBorder="1"/>
    <xf numFmtId="0" fontId="309" fillId="0" borderId="0" xfId="5" applyFont="1" applyBorder="1"/>
    <xf numFmtId="0" fontId="28" fillId="0" borderId="0" xfId="0" applyFont="1"/>
    <xf numFmtId="0" fontId="49" fillId="0" borderId="22" xfId="5" applyFont="1" applyBorder="1"/>
    <xf numFmtId="0" fontId="49" fillId="0" borderId="23" xfId="5" applyFont="1" applyBorder="1"/>
    <xf numFmtId="0" fontId="49" fillId="45" borderId="16" xfId="0" applyFont="1" applyFill="1" applyBorder="1" applyAlignment="1">
      <alignment horizontal="center" wrapText="1"/>
    </xf>
    <xf numFmtId="0" fontId="49" fillId="45" borderId="19" xfId="0" applyFont="1" applyFill="1" applyBorder="1" applyAlignment="1">
      <alignment horizontal="center" wrapText="1"/>
    </xf>
    <xf numFmtId="0" fontId="309" fillId="0" borderId="0" xfId="5" applyFont="1" applyFill="1" applyBorder="1"/>
    <xf numFmtId="0" fontId="49" fillId="0" borderId="0" xfId="5" applyFont="1" applyFill="1" applyBorder="1" applyAlignment="1"/>
    <xf numFmtId="262" fontId="49" fillId="0" borderId="0" xfId="14654" applyNumberFormat="1" applyFont="1" applyFill="1" applyBorder="1"/>
    <xf numFmtId="0" fontId="308" fillId="0" borderId="0" xfId="0" applyFont="1" applyFill="1" applyBorder="1"/>
    <xf numFmtId="0" fontId="49" fillId="50" borderId="20" xfId="5" applyFont="1" applyFill="1" applyBorder="1" applyAlignment="1">
      <alignment horizontal="left" vertical="center" indent="4"/>
    </xf>
    <xf numFmtId="0" fontId="309" fillId="50" borderId="19" xfId="5" applyFont="1" applyFill="1" applyBorder="1" applyAlignment="1"/>
    <xf numFmtId="262" fontId="309" fillId="50" borderId="16" xfId="14654" applyNumberFormat="1" applyFont="1" applyFill="1" applyBorder="1"/>
    <xf numFmtId="262" fontId="309" fillId="50" borderId="19" xfId="14654" applyNumberFormat="1" applyFont="1" applyFill="1" applyBorder="1"/>
    <xf numFmtId="0" fontId="49" fillId="0" borderId="11" xfId="5" applyFont="1" applyBorder="1"/>
    <xf numFmtId="0" fontId="49" fillId="0" borderId="13" xfId="5" applyFont="1" applyBorder="1"/>
    <xf numFmtId="171" fontId="49" fillId="0" borderId="16" xfId="5" applyNumberFormat="1" applyFont="1" applyFill="1" applyBorder="1"/>
    <xf numFmtId="171" fontId="49" fillId="0" borderId="17" xfId="5" applyNumberFormat="1" applyFont="1" applyFill="1" applyBorder="1"/>
    <xf numFmtId="0" fontId="49" fillId="50" borderId="26" xfId="5" applyFont="1" applyFill="1" applyBorder="1" applyAlignment="1">
      <alignment horizontal="left" vertical="center" indent="4"/>
    </xf>
    <xf numFmtId="0" fontId="309" fillId="50" borderId="36" xfId="5" applyFont="1" applyFill="1" applyBorder="1" applyAlignment="1"/>
    <xf numFmtId="0" fontId="309" fillId="0" borderId="26" xfId="5" applyFont="1" applyBorder="1"/>
    <xf numFmtId="0" fontId="309" fillId="0" borderId="36" xfId="5" applyFont="1" applyBorder="1"/>
    <xf numFmtId="171" fontId="309" fillId="0" borderId="31" xfId="14654" applyNumberFormat="1" applyFont="1" applyFill="1" applyBorder="1"/>
    <xf numFmtId="171" fontId="309" fillId="0" borderId="10" xfId="14654" applyNumberFormat="1" applyFont="1" applyFill="1" applyBorder="1"/>
    <xf numFmtId="0" fontId="309" fillId="0" borderId="25" xfId="5" applyFont="1" applyBorder="1" applyAlignment="1"/>
    <xf numFmtId="0" fontId="309" fillId="0" borderId="10" xfId="5" applyFont="1" applyBorder="1" applyAlignment="1"/>
    <xf numFmtId="172" fontId="309" fillId="0" borderId="31" xfId="14654" applyNumberFormat="1" applyFont="1" applyFill="1" applyBorder="1"/>
    <xf numFmtId="172" fontId="309" fillId="0" borderId="10" xfId="14654" applyNumberFormat="1" applyFont="1" applyFill="1" applyBorder="1"/>
    <xf numFmtId="0" fontId="309" fillId="0" borderId="25" xfId="5" applyFont="1" applyBorder="1"/>
    <xf numFmtId="0" fontId="309" fillId="0" borderId="10" xfId="5" applyFont="1" applyBorder="1"/>
    <xf numFmtId="172" fontId="309" fillId="0" borderId="31" xfId="5" applyNumberFormat="1" applyFont="1" applyFill="1" applyBorder="1"/>
    <xf numFmtId="172" fontId="309" fillId="0" borderId="10" xfId="17" applyNumberFormat="1" applyFont="1" applyFill="1" applyBorder="1"/>
    <xf numFmtId="0" fontId="309" fillId="0" borderId="11" xfId="5" applyFont="1" applyBorder="1"/>
    <xf numFmtId="0" fontId="309" fillId="0" borderId="13" xfId="5" applyFont="1" applyBorder="1"/>
    <xf numFmtId="170" fontId="309" fillId="0" borderId="31" xfId="1" applyNumberFormat="1" applyFont="1" applyFill="1" applyBorder="1"/>
    <xf numFmtId="4" fontId="309" fillId="0" borderId="31" xfId="5" applyNumberFormat="1" applyFont="1" applyFill="1" applyBorder="1"/>
    <xf numFmtId="170" fontId="309" fillId="0" borderId="10" xfId="17" applyNumberFormat="1" applyFont="1" applyFill="1" applyBorder="1"/>
    <xf numFmtId="171" fontId="309" fillId="0" borderId="16" xfId="5" applyNumberFormat="1" applyFont="1" applyFill="1" applyBorder="1"/>
    <xf numFmtId="171" fontId="309" fillId="0" borderId="17" xfId="5" applyNumberFormat="1" applyFont="1" applyFill="1" applyBorder="1"/>
    <xf numFmtId="0" fontId="309" fillId="0" borderId="26" xfId="5" applyFont="1" applyBorder="1" applyAlignment="1">
      <alignment vertical="center"/>
    </xf>
    <xf numFmtId="0" fontId="309" fillId="0" borderId="36" xfId="5" applyFont="1" applyBorder="1" applyAlignment="1">
      <alignment vertical="center"/>
    </xf>
    <xf numFmtId="171" fontId="309" fillId="0" borderId="28" xfId="5" applyNumberFormat="1" applyFont="1" applyFill="1" applyBorder="1"/>
    <xf numFmtId="3" fontId="309" fillId="0" borderId="28" xfId="5" applyNumberFormat="1" applyFont="1" applyFill="1" applyBorder="1"/>
    <xf numFmtId="3" fontId="309" fillId="0" borderId="36" xfId="5" applyNumberFormat="1" applyFont="1" applyFill="1" applyBorder="1"/>
    <xf numFmtId="0" fontId="309" fillId="0" borderId="25" xfId="5" applyFont="1" applyFill="1" applyBorder="1" applyAlignment="1">
      <alignment vertical="center"/>
    </xf>
    <xf numFmtId="0" fontId="309" fillId="0" borderId="10" xfId="5" applyFont="1" applyBorder="1" applyAlignment="1">
      <alignment vertical="center"/>
    </xf>
    <xf numFmtId="171" fontId="309" fillId="0" borderId="31" xfId="5" applyNumberFormat="1" applyFont="1" applyFill="1" applyBorder="1"/>
    <xf numFmtId="3" fontId="309" fillId="0" borderId="31" xfId="5" applyNumberFormat="1" applyFont="1" applyFill="1" applyBorder="1"/>
    <xf numFmtId="3" fontId="309" fillId="0" borderId="10" xfId="5" applyNumberFormat="1" applyFont="1" applyFill="1" applyBorder="1"/>
    <xf numFmtId="0" fontId="309" fillId="0" borderId="25" xfId="5" applyFont="1" applyBorder="1" applyAlignment="1">
      <alignment vertical="center"/>
    </xf>
    <xf numFmtId="0" fontId="49" fillId="0" borderId="20" xfId="5" applyFont="1" applyBorder="1"/>
    <xf numFmtId="0" fontId="49" fillId="0" borderId="19" xfId="5" applyFont="1" applyBorder="1"/>
    <xf numFmtId="0" fontId="309" fillId="0" borderId="25" xfId="5" applyFont="1" applyFill="1" applyBorder="1"/>
    <xf numFmtId="0" fontId="309" fillId="0" borderId="10" xfId="5" applyFont="1" applyFill="1" applyBorder="1"/>
    <xf numFmtId="0" fontId="309" fillId="0" borderId="25" xfId="5" applyFont="1" applyBorder="1" applyAlignment="1">
      <alignment horizontal="left"/>
    </xf>
    <xf numFmtId="0" fontId="309" fillId="0" borderId="10" xfId="5" applyFont="1" applyBorder="1" applyAlignment="1">
      <alignment horizontal="left"/>
    </xf>
    <xf numFmtId="9" fontId="309" fillId="41" borderId="31" xfId="17" applyFont="1" applyFill="1" applyBorder="1" applyAlignment="1"/>
    <xf numFmtId="9" fontId="309" fillId="41" borderId="10" xfId="17" applyFont="1" applyFill="1" applyBorder="1" applyAlignment="1"/>
    <xf numFmtId="171" fontId="309" fillId="0" borderId="38" xfId="5" applyNumberFormat="1" applyFont="1" applyBorder="1"/>
    <xf numFmtId="171" fontId="309" fillId="0" borderId="10" xfId="5" applyNumberFormat="1" applyFont="1" applyBorder="1"/>
    <xf numFmtId="171" fontId="309" fillId="0" borderId="31" xfId="5" applyNumberFormat="1" applyFont="1" applyBorder="1"/>
    <xf numFmtId="0" fontId="309" fillId="0" borderId="11" xfId="5" applyFont="1" applyBorder="1" applyAlignment="1">
      <alignment horizontal="left"/>
    </xf>
    <xf numFmtId="0" fontId="309" fillId="0" borderId="13" xfId="5" applyFont="1" applyBorder="1" applyAlignment="1">
      <alignment horizontal="left"/>
    </xf>
    <xf numFmtId="170" fontId="309" fillId="0" borderId="34" xfId="17" applyNumberFormat="1" applyFont="1" applyBorder="1" applyAlignment="1"/>
    <xf numFmtId="9" fontId="309" fillId="0" borderId="34" xfId="17" applyFont="1" applyBorder="1" applyAlignment="1"/>
    <xf numFmtId="9" fontId="313" fillId="0" borderId="13" xfId="17" applyFont="1" applyBorder="1" applyAlignment="1"/>
    <xf numFmtId="262" fontId="309" fillId="50" borderId="28" xfId="14654" applyNumberFormat="1" applyFont="1" applyFill="1" applyBorder="1"/>
    <xf numFmtId="262" fontId="309" fillId="50" borderId="36" xfId="14654" applyNumberFormat="1" applyFont="1" applyFill="1" applyBorder="1"/>
    <xf numFmtId="0" fontId="309" fillId="0" borderId="27" xfId="5" applyFont="1" applyFill="1" applyBorder="1" applyAlignment="1">
      <alignment horizontal="left"/>
    </xf>
    <xf numFmtId="0" fontId="309" fillId="0" borderId="29" xfId="5" applyFont="1" applyFill="1" applyBorder="1" applyAlignment="1">
      <alignment horizontal="left"/>
    </xf>
    <xf numFmtId="171" fontId="309" fillId="0" borderId="28" xfId="5" applyNumberFormat="1" applyFont="1" applyBorder="1"/>
    <xf numFmtId="3" fontId="309" fillId="0" borderId="28" xfId="14654" applyNumberFormat="1" applyFont="1" applyFill="1" applyBorder="1"/>
    <xf numFmtId="3" fontId="309" fillId="0" borderId="29" xfId="14654" applyNumberFormat="1" applyFont="1" applyFill="1" applyBorder="1"/>
    <xf numFmtId="0" fontId="309" fillId="0" borderId="30" xfId="5" applyFont="1" applyFill="1" applyBorder="1" applyAlignment="1">
      <alignment horizontal="left"/>
    </xf>
    <xf numFmtId="0" fontId="309" fillId="0" borderId="32" xfId="5" applyFont="1" applyFill="1" applyBorder="1" applyAlignment="1">
      <alignment horizontal="left"/>
    </xf>
    <xf numFmtId="171" fontId="309" fillId="0" borderId="31" xfId="5" quotePrefix="1" applyNumberFormat="1" applyFont="1" applyBorder="1"/>
    <xf numFmtId="3" fontId="309" fillId="0" borderId="31" xfId="14654" applyNumberFormat="1" applyFont="1" applyFill="1" applyBorder="1"/>
    <xf numFmtId="3" fontId="309" fillId="0" borderId="32" xfId="14654" applyNumberFormat="1" applyFont="1" applyFill="1" applyBorder="1"/>
    <xf numFmtId="9" fontId="309" fillId="0" borderId="31" xfId="17" applyFont="1" applyBorder="1" applyAlignment="1"/>
    <xf numFmtId="9" fontId="313" fillId="0" borderId="10" xfId="17" applyFont="1" applyBorder="1" applyAlignment="1"/>
    <xf numFmtId="3" fontId="309" fillId="0" borderId="10" xfId="14654" applyNumberFormat="1" applyFont="1" applyFill="1" applyBorder="1"/>
    <xf numFmtId="0" fontId="49" fillId="0" borderId="20" xfId="5" applyFont="1" applyFill="1" applyBorder="1"/>
    <xf numFmtId="0" fontId="49" fillId="0" borderId="19" xfId="5" applyFont="1" applyFill="1" applyBorder="1"/>
    <xf numFmtId="171" fontId="49" fillId="0" borderId="18" xfId="5" applyNumberFormat="1" applyFont="1" applyBorder="1"/>
    <xf numFmtId="171" fontId="49" fillId="0" borderId="19" xfId="5" applyNumberFormat="1" applyFont="1" applyBorder="1"/>
    <xf numFmtId="0" fontId="55" fillId="0" borderId="0" xfId="0" applyFont="1"/>
    <xf numFmtId="263" fontId="49" fillId="0" borderId="0" xfId="14654" applyNumberFormat="1" applyFont="1" applyFill="1" applyBorder="1"/>
    <xf numFmtId="3" fontId="49" fillId="0" borderId="16" xfId="5" applyNumberFormat="1" applyFont="1" applyFill="1" applyBorder="1"/>
    <xf numFmtId="3" fontId="49" fillId="0" borderId="19" xfId="5" applyNumberFormat="1" applyFont="1" applyFill="1" applyBorder="1"/>
    <xf numFmtId="0" fontId="314" fillId="0" borderId="0" xfId="0" applyFont="1"/>
    <xf numFmtId="171" fontId="309" fillId="0" borderId="0" xfId="5" applyNumberFormat="1" applyFont="1" applyFill="1" applyBorder="1"/>
    <xf numFmtId="171" fontId="309" fillId="50" borderId="16" xfId="14654" applyNumberFormat="1" applyFont="1" applyFill="1" applyBorder="1"/>
    <xf numFmtId="0" fontId="309" fillId="0" borderId="26" xfId="5" applyFont="1" applyFill="1" applyBorder="1"/>
    <xf numFmtId="0" fontId="309" fillId="0" borderId="36" xfId="5" applyFont="1" applyFill="1" applyBorder="1"/>
    <xf numFmtId="171" fontId="309" fillId="0" borderId="16" xfId="5" applyNumberFormat="1" applyFont="1" applyBorder="1"/>
    <xf numFmtId="165" fontId="309" fillId="0" borderId="28" xfId="14654" applyFont="1" applyFill="1" applyBorder="1"/>
    <xf numFmtId="165" fontId="309" fillId="0" borderId="36" xfId="14654" applyFont="1" applyFill="1" applyBorder="1"/>
    <xf numFmtId="0" fontId="49" fillId="0" borderId="20" xfId="5" applyFont="1" applyFill="1" applyBorder="1" applyAlignment="1">
      <alignment vertical="center"/>
    </xf>
    <xf numFmtId="0" fontId="309" fillId="0" borderId="19" xfId="5" applyFont="1" applyFill="1" applyBorder="1"/>
    <xf numFmtId="3" fontId="309" fillId="0" borderId="16" xfId="5" applyNumberFormat="1" applyFont="1" applyFill="1" applyBorder="1"/>
    <xf numFmtId="3" fontId="309" fillId="0" borderId="19" xfId="5" applyNumberFormat="1" applyFont="1" applyFill="1" applyBorder="1"/>
    <xf numFmtId="171" fontId="309" fillId="50" borderId="28" xfId="14654" applyNumberFormat="1" applyFont="1" applyFill="1" applyBorder="1"/>
    <xf numFmtId="0" fontId="309" fillId="0" borderId="26" xfId="5" applyFont="1" applyBorder="1" applyAlignment="1">
      <alignment horizontal="left"/>
    </xf>
    <xf numFmtId="0" fontId="309" fillId="0" borderId="36" xfId="5" applyFont="1" applyBorder="1" applyAlignment="1">
      <alignment horizontal="left"/>
    </xf>
    <xf numFmtId="0" fontId="49" fillId="0" borderId="20" xfId="5" applyFont="1" applyBorder="1" applyAlignment="1">
      <alignment horizontal="left"/>
    </xf>
    <xf numFmtId="0" fontId="49" fillId="0" borderId="19" xfId="5" applyFont="1" applyBorder="1" applyAlignment="1">
      <alignment horizontal="left"/>
    </xf>
    <xf numFmtId="171" fontId="49" fillId="0" borderId="16" xfId="5" applyNumberFormat="1" applyFont="1" applyBorder="1"/>
    <xf numFmtId="3" fontId="49" fillId="0" borderId="16" xfId="5" applyNumberFormat="1" applyFont="1" applyBorder="1"/>
    <xf numFmtId="3" fontId="49" fillId="0" borderId="17" xfId="5" applyNumberFormat="1" applyFont="1" applyBorder="1"/>
    <xf numFmtId="0" fontId="49" fillId="0" borderId="0" xfId="5" applyFont="1" applyBorder="1" applyAlignment="1">
      <alignment horizontal="left"/>
    </xf>
    <xf numFmtId="171" fontId="49" fillId="0" borderId="0" xfId="5" applyNumberFormat="1" applyFont="1" applyBorder="1"/>
    <xf numFmtId="3" fontId="49" fillId="0" borderId="0" xfId="5" applyNumberFormat="1" applyFont="1" applyBorder="1"/>
    <xf numFmtId="0" fontId="49" fillId="52" borderId="20" xfId="5" applyFont="1" applyFill="1" applyBorder="1" applyAlignment="1">
      <alignment vertical="center"/>
    </xf>
    <xf numFmtId="0" fontId="309" fillId="52" borderId="24" xfId="5" applyFont="1" applyFill="1" applyBorder="1"/>
    <xf numFmtId="171" fontId="49" fillId="52" borderId="16" xfId="5" applyNumberFormat="1" applyFont="1" applyFill="1" applyBorder="1"/>
    <xf numFmtId="0" fontId="49" fillId="0" borderId="0" xfId="5" applyFont="1" applyFill="1" applyBorder="1" applyAlignment="1">
      <alignment vertical="center"/>
    </xf>
    <xf numFmtId="3" fontId="309" fillId="0" borderId="0" xfId="5" applyNumberFormat="1" applyFont="1" applyFill="1" applyBorder="1"/>
    <xf numFmtId="264" fontId="309" fillId="0" borderId="28" xfId="14654" applyNumberFormat="1" applyFont="1" applyFill="1" applyBorder="1"/>
    <xf numFmtId="264" fontId="309" fillId="0" borderId="29" xfId="14654" applyNumberFormat="1" applyFont="1" applyFill="1" applyBorder="1"/>
    <xf numFmtId="264" fontId="309" fillId="0" borderId="31" xfId="14654" applyNumberFormat="1" applyFont="1" applyFill="1" applyBorder="1"/>
    <xf numFmtId="264" fontId="309" fillId="0" borderId="32" xfId="14654" applyNumberFormat="1" applyFont="1" applyFill="1" applyBorder="1"/>
    <xf numFmtId="0" fontId="309" fillId="0" borderId="25" xfId="5" applyFont="1" applyFill="1" applyBorder="1" applyAlignment="1">
      <alignment horizontal="left"/>
    </xf>
    <xf numFmtId="0" fontId="309" fillId="0" borderId="10" xfId="5" applyFont="1" applyFill="1" applyBorder="1" applyAlignment="1">
      <alignment horizontal="left"/>
    </xf>
    <xf numFmtId="264" fontId="309" fillId="0" borderId="34" xfId="14654" applyNumberFormat="1" applyFont="1" applyFill="1" applyBorder="1"/>
    <xf numFmtId="0" fontId="49" fillId="0" borderId="26" xfId="5" applyFont="1" applyBorder="1" applyAlignment="1">
      <alignment vertical="center"/>
    </xf>
    <xf numFmtId="0" fontId="49" fillId="0" borderId="36" xfId="5" applyFont="1" applyBorder="1" applyAlignment="1">
      <alignment vertical="center"/>
    </xf>
    <xf numFmtId="171" fontId="49" fillId="0" borderId="36" xfId="5" applyNumberFormat="1" applyFont="1" applyFill="1" applyBorder="1"/>
    <xf numFmtId="4" fontId="49" fillId="0" borderId="19" xfId="14654" applyNumberFormat="1" applyFont="1" applyBorder="1"/>
    <xf numFmtId="4" fontId="315" fillId="0" borderId="19" xfId="14654" applyNumberFormat="1" applyFont="1" applyBorder="1"/>
    <xf numFmtId="4" fontId="316" fillId="0" borderId="19" xfId="14654" applyNumberFormat="1" applyFont="1" applyBorder="1"/>
    <xf numFmtId="0" fontId="49" fillId="52" borderId="20" xfId="5" applyFont="1" applyFill="1" applyBorder="1" applyAlignment="1">
      <alignment horizontal="left" vertical="center"/>
    </xf>
    <xf numFmtId="4" fontId="49" fillId="52" borderId="15" xfId="5" applyNumberFormat="1" applyFont="1" applyFill="1" applyBorder="1"/>
    <xf numFmtId="3" fontId="49" fillId="0" borderId="0" xfId="5" applyNumberFormat="1" applyFont="1" applyFill="1" applyBorder="1"/>
    <xf numFmtId="0" fontId="308" fillId="0" borderId="0" xfId="0" applyFont="1" applyFill="1"/>
    <xf numFmtId="0" fontId="49" fillId="0" borderId="0" xfId="5" applyFont="1" applyFill="1" applyBorder="1"/>
    <xf numFmtId="4" fontId="49" fillId="0" borderId="0" xfId="5" applyNumberFormat="1" applyFont="1" applyFill="1" applyBorder="1"/>
    <xf numFmtId="0" fontId="317" fillId="0" borderId="0" xfId="5" applyFont="1"/>
    <xf numFmtId="165" fontId="49" fillId="0" borderId="0" xfId="14654" applyFont="1" applyFill="1" applyBorder="1"/>
    <xf numFmtId="265" fontId="49" fillId="0" borderId="16" xfId="14654" applyNumberFormat="1" applyFont="1" applyFill="1" applyBorder="1"/>
    <xf numFmtId="265" fontId="49" fillId="0" borderId="17" xfId="14654" applyNumberFormat="1" applyFont="1" applyFill="1" applyBorder="1"/>
    <xf numFmtId="171" fontId="309" fillId="50" borderId="19" xfId="14654" applyNumberFormat="1" applyFont="1" applyFill="1" applyBorder="1"/>
    <xf numFmtId="171" fontId="309" fillId="0" borderId="10" xfId="17" applyNumberFormat="1" applyFont="1" applyFill="1" applyBorder="1"/>
    <xf numFmtId="171" fontId="318" fillId="0" borderId="28" xfId="5" applyNumberFormat="1" applyFont="1" applyFill="1" applyBorder="1"/>
    <xf numFmtId="171" fontId="319" fillId="0" borderId="28" xfId="5" applyNumberFormat="1" applyFont="1" applyFill="1" applyBorder="1"/>
    <xf numFmtId="171" fontId="318" fillId="41" borderId="31" xfId="5" applyNumberFormat="1" applyFont="1" applyFill="1" applyBorder="1"/>
    <xf numFmtId="3" fontId="309" fillId="41" borderId="31" xfId="5" applyNumberFormat="1" applyFont="1" applyFill="1" applyBorder="1"/>
    <xf numFmtId="3" fontId="309" fillId="41" borderId="10" xfId="5" applyNumberFormat="1" applyFont="1" applyFill="1" applyBorder="1"/>
    <xf numFmtId="171" fontId="309" fillId="41" borderId="31" xfId="5" applyNumberFormat="1" applyFont="1" applyFill="1" applyBorder="1"/>
    <xf numFmtId="171" fontId="318" fillId="0" borderId="31" xfId="5" applyNumberFormat="1" applyFont="1" applyFill="1" applyBorder="1"/>
    <xf numFmtId="171" fontId="319" fillId="0" borderId="31" xfId="5" applyNumberFormat="1" applyFont="1" applyFill="1" applyBorder="1"/>
    <xf numFmtId="9" fontId="313" fillId="0" borderId="31" xfId="17" applyFont="1" applyBorder="1" applyAlignment="1"/>
    <xf numFmtId="9" fontId="309" fillId="0" borderId="10" xfId="17" applyFont="1" applyBorder="1" applyAlignment="1"/>
    <xf numFmtId="9" fontId="313" fillId="0" borderId="34" xfId="17" applyFont="1" applyBorder="1" applyAlignment="1"/>
    <xf numFmtId="171" fontId="319" fillId="0" borderId="16" xfId="5" applyNumberFormat="1" applyFont="1" applyBorder="1"/>
    <xf numFmtId="165" fontId="309" fillId="0" borderId="16" xfId="14654" applyFont="1" applyFill="1" applyBorder="1"/>
    <xf numFmtId="165" fontId="309" fillId="0" borderId="19" xfId="14654" applyFont="1" applyFill="1" applyBorder="1"/>
    <xf numFmtId="171" fontId="320" fillId="0" borderId="16" xfId="5" applyNumberFormat="1" applyFont="1" applyBorder="1"/>
    <xf numFmtId="171" fontId="321" fillId="0" borderId="16" xfId="5" applyNumberFormat="1" applyFont="1" applyBorder="1"/>
    <xf numFmtId="3" fontId="322" fillId="0" borderId="16" xfId="5" applyNumberFormat="1" applyFont="1" applyBorder="1"/>
    <xf numFmtId="3" fontId="322" fillId="0" borderId="17" xfId="5" applyNumberFormat="1" applyFont="1" applyBorder="1"/>
    <xf numFmtId="265" fontId="309" fillId="0" borderId="28" xfId="14654" applyNumberFormat="1" applyFont="1" applyFill="1" applyBorder="1"/>
    <xf numFmtId="265" fontId="309" fillId="0" borderId="29" xfId="14654" applyNumberFormat="1" applyFont="1" applyFill="1" applyBorder="1"/>
    <xf numFmtId="171" fontId="309" fillId="41" borderId="31" xfId="14654" applyNumberFormat="1" applyFont="1" applyFill="1" applyBorder="1"/>
    <xf numFmtId="3" fontId="309" fillId="41" borderId="31" xfId="14654" applyNumberFormat="1" applyFont="1" applyFill="1" applyBorder="1"/>
    <xf numFmtId="3" fontId="309" fillId="41" borderId="10" xfId="14654" applyNumberFormat="1" applyFont="1" applyFill="1" applyBorder="1"/>
    <xf numFmtId="171" fontId="313" fillId="41" borderId="31" xfId="17" applyNumberFormat="1" applyFont="1" applyFill="1" applyBorder="1" applyAlignment="1"/>
    <xf numFmtId="9" fontId="313" fillId="41" borderId="31" xfId="17" applyFont="1" applyFill="1" applyBorder="1" applyAlignment="1"/>
    <xf numFmtId="9" fontId="313" fillId="41" borderId="10" xfId="17" applyFont="1" applyFill="1" applyBorder="1" applyAlignment="1"/>
    <xf numFmtId="171" fontId="309" fillId="41" borderId="31" xfId="17" applyNumberFormat="1" applyFont="1" applyFill="1" applyBorder="1" applyAlignment="1"/>
    <xf numFmtId="3" fontId="308" fillId="0" borderId="0" xfId="0" applyNumberFormat="1" applyFont="1"/>
    <xf numFmtId="168" fontId="308" fillId="0" borderId="0" xfId="14654" applyNumberFormat="1" applyFont="1"/>
    <xf numFmtId="9" fontId="308" fillId="0" borderId="0" xfId="1" applyFont="1"/>
    <xf numFmtId="265" fontId="309" fillId="41" borderId="28" xfId="14654" applyNumberFormat="1" applyFont="1" applyFill="1" applyBorder="1"/>
    <xf numFmtId="265" fontId="309" fillId="41" borderId="29" xfId="14654" applyNumberFormat="1" applyFont="1" applyFill="1" applyBorder="1"/>
    <xf numFmtId="262" fontId="309" fillId="41" borderId="31" xfId="14654" applyNumberFormat="1" applyFont="1" applyFill="1" applyBorder="1"/>
    <xf numFmtId="262" fontId="309" fillId="41" borderId="10" xfId="14654" applyNumberFormat="1" applyFont="1" applyFill="1" applyBorder="1"/>
    <xf numFmtId="4" fontId="309" fillId="41" borderId="31" xfId="5" applyNumberFormat="1" applyFont="1" applyFill="1" applyBorder="1"/>
    <xf numFmtId="170" fontId="309" fillId="41" borderId="10" xfId="17" applyNumberFormat="1" applyFont="1" applyFill="1" applyBorder="1"/>
    <xf numFmtId="170" fontId="309" fillId="41" borderId="31" xfId="1" applyNumberFormat="1" applyFont="1" applyFill="1" applyBorder="1"/>
    <xf numFmtId="265" fontId="49" fillId="41" borderId="16" xfId="14654" applyNumberFormat="1" applyFont="1" applyFill="1" applyBorder="1"/>
    <xf numFmtId="265" fontId="49" fillId="41" borderId="17" xfId="14654" applyNumberFormat="1" applyFont="1" applyFill="1" applyBorder="1"/>
    <xf numFmtId="264" fontId="309" fillId="41" borderId="31" xfId="14654" applyNumberFormat="1" applyFont="1" applyFill="1" applyBorder="1"/>
    <xf numFmtId="264" fontId="309" fillId="41" borderId="32" xfId="14654" applyNumberFormat="1" applyFont="1" applyFill="1" applyBorder="1"/>
    <xf numFmtId="3" fontId="318" fillId="41" borderId="31" xfId="5" applyNumberFormat="1" applyFont="1" applyFill="1" applyBorder="1"/>
    <xf numFmtId="0" fontId="44" fillId="0" borderId="0" xfId="15" applyFont="1"/>
    <xf numFmtId="0" fontId="38" fillId="0" borderId="0" xfId="14655" applyFont="1" applyAlignment="1"/>
    <xf numFmtId="0" fontId="38" fillId="0" borderId="0" xfId="14655" applyFont="1" applyAlignment="1">
      <alignment horizontal="center"/>
    </xf>
    <xf numFmtId="0" fontId="39" fillId="0" borderId="0" xfId="14655" applyFont="1" applyBorder="1" applyAlignment="1"/>
    <xf numFmtId="0" fontId="38" fillId="45" borderId="14" xfId="5" applyFont="1" applyFill="1" applyBorder="1" applyAlignment="1">
      <alignment horizontal="center" vertical="center" wrapText="1"/>
    </xf>
    <xf numFmtId="0" fontId="44" fillId="0" borderId="24" xfId="15" applyFont="1" applyBorder="1"/>
    <xf numFmtId="0" fontId="39" fillId="0" borderId="21" xfId="14655" applyFont="1" applyFill="1" applyBorder="1" applyAlignment="1">
      <alignment horizontal="left" indent="1"/>
    </xf>
    <xf numFmtId="165" fontId="44" fillId="0" borderId="0" xfId="14654" applyFont="1"/>
    <xf numFmtId="0" fontId="39" fillId="0" borderId="22" xfId="14655" applyFont="1" applyFill="1" applyBorder="1" applyAlignment="1">
      <alignment horizontal="left" indent="1"/>
    </xf>
    <xf numFmtId="0" fontId="39" fillId="0" borderId="14" xfId="14655" applyFont="1" applyBorder="1" applyAlignment="1">
      <alignment vertical="center"/>
    </xf>
    <xf numFmtId="0" fontId="39" fillId="0" borderId="23" xfId="14655" applyFont="1" applyFill="1" applyBorder="1" applyAlignment="1">
      <alignment horizontal="left" indent="1"/>
    </xf>
    <xf numFmtId="0" fontId="38" fillId="0" borderId="14" xfId="14655" applyFont="1" applyBorder="1" applyAlignment="1">
      <alignment vertical="center"/>
    </xf>
    <xf numFmtId="0" fontId="39" fillId="0" borderId="22" xfId="14655" applyFont="1" applyBorder="1" applyAlignment="1">
      <alignment horizontal="left" indent="1"/>
    </xf>
    <xf numFmtId="0" fontId="39" fillId="0" borderId="23" xfId="14655" applyFont="1" applyBorder="1" applyAlignment="1">
      <alignment horizontal="left" indent="1"/>
    </xf>
    <xf numFmtId="0" fontId="39" fillId="0" borderId="0" xfId="15" applyFont="1" applyFill="1" applyAlignment="1">
      <alignment horizontal="left"/>
    </xf>
    <xf numFmtId="0" fontId="44" fillId="0" borderId="41" xfId="15" applyFont="1" applyBorder="1"/>
    <xf numFmtId="0" fontId="324" fillId="0" borderId="0" xfId="14655" applyFont="1" applyFill="1" applyBorder="1" applyAlignment="1"/>
    <xf numFmtId="0" fontId="44" fillId="0" borderId="0" xfId="15" applyFont="1" applyBorder="1"/>
    <xf numFmtId="0" fontId="44" fillId="40" borderId="0" xfId="15" applyFont="1" applyFill="1"/>
    <xf numFmtId="0" fontId="0" fillId="0" borderId="0" xfId="0" applyFont="1"/>
    <xf numFmtId="3" fontId="39" fillId="0" borderId="32" xfId="0" applyNumberFormat="1" applyFont="1" applyFill="1" applyBorder="1" applyAlignment="1"/>
    <xf numFmtId="0" fontId="39" fillId="0" borderId="25" xfId="6" applyFont="1" applyBorder="1" applyAlignment="1">
      <alignment horizontal="left"/>
    </xf>
    <xf numFmtId="171" fontId="39" fillId="0" borderId="31" xfId="6" applyNumberFormat="1" applyFont="1" applyBorder="1" applyAlignment="1"/>
    <xf numFmtId="171" fontId="39" fillId="0" borderId="32" xfId="6" applyNumberFormat="1" applyFont="1" applyBorder="1" applyAlignment="1"/>
    <xf numFmtId="3" fontId="38" fillId="0" borderId="30" xfId="0" applyNumberFormat="1" applyFont="1" applyFill="1" applyBorder="1" applyAlignment="1"/>
    <xf numFmtId="3" fontId="38" fillId="0" borderId="31" xfId="0" applyNumberFormat="1" applyFont="1" applyFill="1" applyBorder="1" applyAlignment="1"/>
    <xf numFmtId="10" fontId="39" fillId="41" borderId="28" xfId="12" applyNumberFormat="1" applyFont="1" applyFill="1" applyBorder="1" applyAlignment="1">
      <alignment horizontal="right" vertical="center"/>
    </xf>
    <xf numFmtId="170" fontId="39" fillId="41" borderId="28" xfId="12" applyNumberFormat="1" applyFont="1" applyFill="1" applyBorder="1" applyAlignment="1">
      <alignment vertical="center"/>
    </xf>
    <xf numFmtId="170" fontId="39" fillId="41" borderId="36" xfId="12" applyNumberFormat="1" applyFont="1" applyFill="1" applyBorder="1" applyAlignment="1">
      <alignment vertical="center"/>
    </xf>
    <xf numFmtId="10" fontId="39" fillId="41" borderId="31" xfId="12" applyNumberFormat="1" applyFont="1" applyFill="1" applyBorder="1" applyAlignment="1">
      <alignment horizontal="right" vertical="center"/>
    </xf>
    <xf numFmtId="170" fontId="39" fillId="41" borderId="31" xfId="12" applyNumberFormat="1" applyFont="1" applyFill="1" applyBorder="1" applyAlignment="1">
      <alignment vertical="center"/>
    </xf>
    <xf numFmtId="170" fontId="39" fillId="41" borderId="10" xfId="12" applyNumberFormat="1" applyFont="1" applyFill="1" applyBorder="1" applyAlignment="1">
      <alignment vertical="center"/>
    </xf>
    <xf numFmtId="10" fontId="326" fillId="41" borderId="34" xfId="12" applyNumberFormat="1" applyFont="1" applyFill="1" applyBorder="1" applyAlignment="1">
      <alignment horizontal="right" vertical="center"/>
    </xf>
    <xf numFmtId="10" fontId="39" fillId="41" borderId="33" xfId="12" applyNumberFormat="1" applyFont="1" applyFill="1" applyBorder="1" applyAlignment="1">
      <alignment horizontal="right" vertical="center"/>
    </xf>
    <xf numFmtId="10" fontId="39" fillId="41" borderId="34" xfId="12" applyNumberFormat="1" applyFont="1" applyFill="1" applyBorder="1" applyAlignment="1">
      <alignment horizontal="right" vertical="center"/>
    </xf>
    <xf numFmtId="10" fontId="39" fillId="41" borderId="34" xfId="12" applyNumberFormat="1" applyFont="1" applyFill="1" applyBorder="1" applyAlignment="1">
      <alignment vertical="center"/>
    </xf>
    <xf numFmtId="170" fontId="39" fillId="41" borderId="34" xfId="12" applyNumberFormat="1" applyFont="1" applyFill="1" applyBorder="1" applyAlignment="1"/>
    <xf numFmtId="170" fontId="39" fillId="41" borderId="13" xfId="12" applyNumberFormat="1" applyFont="1" applyFill="1" applyBorder="1" applyAlignment="1"/>
    <xf numFmtId="171" fontId="329" fillId="0" borderId="0" xfId="6" applyNumberFormat="1" applyFont="1" applyFill="1" applyBorder="1" applyAlignment="1"/>
    <xf numFmtId="0" fontId="330" fillId="0" borderId="0" xfId="5" applyFont="1"/>
    <xf numFmtId="0" fontId="330" fillId="0" borderId="0" xfId="5" applyFont="1" applyFill="1"/>
    <xf numFmtId="3" fontId="329" fillId="0" borderId="16" xfId="14" applyNumberFormat="1" applyFont="1" applyFill="1" applyBorder="1" applyAlignment="1"/>
    <xf numFmtId="3" fontId="329" fillId="0" borderId="17" xfId="14" applyNumberFormat="1" applyFont="1" applyFill="1" applyBorder="1" applyAlignment="1"/>
    <xf numFmtId="3" fontId="39" fillId="0" borderId="0" xfId="12" applyNumberFormat="1" applyFont="1" applyFill="1" applyBorder="1" applyAlignment="1">
      <alignment horizontal="right" vertical="center"/>
    </xf>
    <xf numFmtId="3" fontId="39" fillId="0" borderId="0" xfId="12" applyNumberFormat="1" applyFont="1" applyBorder="1" applyAlignment="1">
      <alignment vertical="center"/>
    </xf>
    <xf numFmtId="3" fontId="39" fillId="0" borderId="0" xfId="12" applyNumberFormat="1" applyFont="1" applyFill="1" applyBorder="1" applyAlignment="1"/>
    <xf numFmtId="3" fontId="39" fillId="0" borderId="0" xfId="6" applyNumberFormat="1" applyFont="1" applyBorder="1" applyAlignment="1"/>
    <xf numFmtId="3" fontId="329" fillId="0" borderId="0" xfId="6" applyNumberFormat="1" applyFont="1" applyBorder="1" applyAlignment="1"/>
    <xf numFmtId="0" fontId="329" fillId="0" borderId="0" xfId="5" applyFont="1"/>
    <xf numFmtId="3" fontId="39" fillId="0" borderId="36" xfId="6" applyNumberFormat="1" applyFont="1" applyFill="1" applyBorder="1" applyAlignment="1"/>
    <xf numFmtId="3" fontId="39" fillId="0" borderId="10" xfId="6" applyNumberFormat="1" applyFont="1" applyFill="1" applyBorder="1" applyAlignment="1"/>
    <xf numFmtId="171" fontId="329" fillId="0" borderId="0" xfId="6" applyNumberFormat="1" applyFont="1" applyBorder="1" applyAlignment="1"/>
    <xf numFmtId="0" fontId="329" fillId="0" borderId="0" xfId="5" applyFont="1" applyFill="1"/>
    <xf numFmtId="3" fontId="42" fillId="0" borderId="0" xfId="6" applyNumberFormat="1" applyFont="1" applyFill="1" applyBorder="1" applyAlignment="1"/>
    <xf numFmtId="3" fontId="39" fillId="0" borderId="0" xfId="14" applyNumberFormat="1" applyFont="1" applyFill="1" applyBorder="1" applyAlignment="1"/>
    <xf numFmtId="3" fontId="330" fillId="0" borderId="0" xfId="6" applyNumberFormat="1" applyFont="1" applyFill="1" applyBorder="1" applyAlignment="1"/>
    <xf numFmtId="171" fontId="330" fillId="0" borderId="0" xfId="6" applyNumberFormat="1" applyFont="1" applyFill="1" applyBorder="1" applyAlignment="1"/>
    <xf numFmtId="3" fontId="38" fillId="0" borderId="34" xfId="6" applyNumberFormat="1" applyFont="1" applyBorder="1" applyAlignment="1"/>
    <xf numFmtId="4" fontId="329" fillId="0" borderId="0" xfId="13" applyNumberFormat="1" applyFont="1" applyFill="1" applyBorder="1" applyAlignment="1">
      <alignment horizontal="left" vertical="center"/>
    </xf>
    <xf numFmtId="165" fontId="332" fillId="0" borderId="0" xfId="14654" applyFont="1" applyFill="1" applyBorder="1" applyAlignment="1">
      <alignment vertical="center"/>
    </xf>
    <xf numFmtId="165" fontId="39" fillId="0" borderId="0" xfId="14654" applyFont="1" applyFill="1" applyBorder="1" applyAlignment="1">
      <alignment vertical="center"/>
    </xf>
    <xf numFmtId="10" fontId="332" fillId="0" borderId="0" xfId="13" applyNumberFormat="1" applyFont="1" applyFill="1" applyBorder="1" applyAlignment="1">
      <alignment vertical="center"/>
    </xf>
    <xf numFmtId="10" fontId="329" fillId="0" borderId="0" xfId="9" applyNumberFormat="1" applyFont="1" applyFill="1" applyBorder="1" applyAlignment="1">
      <alignment vertical="center"/>
    </xf>
    <xf numFmtId="0" fontId="46" fillId="0" borderId="0" xfId="6" applyFont="1" applyBorder="1" applyAlignment="1"/>
    <xf numFmtId="0" fontId="46" fillId="0" borderId="0" xfId="6" applyFont="1" applyFill="1" applyBorder="1" applyAlignment="1"/>
    <xf numFmtId="0" fontId="39" fillId="0" borderId="0" xfId="6" applyFont="1" applyAlignment="1">
      <alignment horizontal="left"/>
    </xf>
    <xf numFmtId="3" fontId="326" fillId="0" borderId="28" xfId="0" applyNumberFormat="1" applyFont="1" applyFill="1" applyBorder="1" applyAlignment="1"/>
    <xf numFmtId="3" fontId="326" fillId="0" borderId="29" xfId="0" applyNumberFormat="1" applyFont="1" applyFill="1" applyBorder="1" applyAlignment="1"/>
    <xf numFmtId="3" fontId="329" fillId="0" borderId="28" xfId="0" applyNumberFormat="1" applyFont="1" applyFill="1" applyBorder="1" applyAlignment="1"/>
    <xf numFmtId="3" fontId="39" fillId="41" borderId="30" xfId="6" applyNumberFormat="1" applyFont="1" applyFill="1" applyBorder="1" applyAlignment="1"/>
    <xf numFmtId="3" fontId="39" fillId="41" borderId="31" xfId="6" applyNumberFormat="1" applyFont="1" applyFill="1" applyBorder="1" applyAlignment="1"/>
    <xf numFmtId="3" fontId="326" fillId="41" borderId="31" xfId="6" applyNumberFormat="1" applyFont="1" applyFill="1" applyBorder="1" applyAlignment="1"/>
    <xf numFmtId="3" fontId="326" fillId="41" borderId="32" xfId="6" applyNumberFormat="1" applyFont="1" applyFill="1" applyBorder="1" applyAlignment="1"/>
    <xf numFmtId="3" fontId="326" fillId="0" borderId="31" xfId="6" applyNumberFormat="1" applyFont="1" applyFill="1" applyBorder="1" applyAlignment="1"/>
    <xf numFmtId="3" fontId="326" fillId="0" borderId="32" xfId="6" applyNumberFormat="1" applyFont="1" applyFill="1" applyBorder="1" applyAlignment="1"/>
    <xf numFmtId="3" fontId="329" fillId="0" borderId="31" xfId="6" applyNumberFormat="1" applyFont="1" applyFill="1" applyBorder="1" applyAlignment="1"/>
    <xf numFmtId="3" fontId="326" fillId="0" borderId="31" xfId="0" applyNumberFormat="1" applyFont="1" applyFill="1" applyBorder="1" applyAlignment="1"/>
    <xf numFmtId="3" fontId="326" fillId="0" borderId="32" xfId="0" applyNumberFormat="1" applyFont="1" applyFill="1" applyBorder="1" applyAlignment="1"/>
    <xf numFmtId="3" fontId="329" fillId="0" borderId="31" xfId="0" applyNumberFormat="1" applyFont="1" applyFill="1" applyBorder="1" applyAlignment="1"/>
    <xf numFmtId="3" fontId="326" fillId="0" borderId="28" xfId="6" applyNumberFormat="1" applyFont="1" applyFill="1" applyBorder="1" applyAlignment="1"/>
    <xf numFmtId="3" fontId="326" fillId="0" borderId="29" xfId="6" applyNumberFormat="1" applyFont="1" applyFill="1" applyBorder="1" applyAlignment="1"/>
    <xf numFmtId="3" fontId="329" fillId="0" borderId="28" xfId="6" applyNumberFormat="1" applyFont="1" applyFill="1" applyBorder="1" applyAlignment="1"/>
    <xf numFmtId="3" fontId="39" fillId="41" borderId="30" xfId="0" applyNumberFormat="1" applyFont="1" applyFill="1" applyBorder="1" applyAlignment="1"/>
    <xf numFmtId="3" fontId="39" fillId="41" borderId="31" xfId="0" applyNumberFormat="1" applyFont="1" applyFill="1" applyBorder="1" applyAlignment="1"/>
    <xf numFmtId="3" fontId="329" fillId="41" borderId="31" xfId="6" applyNumberFormat="1" applyFont="1" applyFill="1" applyBorder="1" applyAlignment="1"/>
    <xf numFmtId="10" fontId="39" fillId="0" borderId="28" xfId="12" applyNumberFormat="1" applyFont="1" applyFill="1" applyBorder="1" applyAlignment="1">
      <alignment vertical="center"/>
    </xf>
    <xf numFmtId="10" fontId="326" fillId="0" borderId="31" xfId="12" applyNumberFormat="1" applyFont="1" applyFill="1" applyBorder="1" applyAlignment="1">
      <alignment horizontal="right" vertical="center"/>
    </xf>
    <xf numFmtId="10" fontId="329" fillId="0" borderId="31" xfId="12" applyNumberFormat="1" applyFont="1" applyFill="1" applyBorder="1" applyAlignment="1">
      <alignment vertical="center"/>
    </xf>
    <xf numFmtId="10" fontId="326" fillId="0" borderId="34" xfId="12" applyNumberFormat="1" applyFont="1" applyFill="1" applyBorder="1" applyAlignment="1">
      <alignment horizontal="right" vertical="center"/>
    </xf>
    <xf numFmtId="10" fontId="329" fillId="0" borderId="34" xfId="12" applyNumberFormat="1" applyFont="1" applyBorder="1" applyAlignment="1">
      <alignment vertical="center"/>
    </xf>
    <xf numFmtId="10" fontId="329" fillId="0" borderId="0" xfId="12" applyNumberFormat="1" applyFont="1" applyBorder="1" applyAlignment="1">
      <alignment vertical="center"/>
    </xf>
    <xf numFmtId="171" fontId="326" fillId="0" borderId="16" xfId="14" applyNumberFormat="1" applyFont="1" applyFill="1" applyBorder="1" applyAlignment="1"/>
    <xf numFmtId="171" fontId="329" fillId="0" borderId="16" xfId="14" applyNumberFormat="1" applyFont="1" applyFill="1" applyBorder="1" applyAlignment="1"/>
    <xf numFmtId="3" fontId="39" fillId="41" borderId="28" xfId="6" applyNumberFormat="1" applyFont="1" applyFill="1" applyBorder="1" applyAlignment="1"/>
    <xf numFmtId="171" fontId="329" fillId="0" borderId="28" xfId="6" applyNumberFormat="1" applyFont="1" applyFill="1" applyBorder="1" applyAlignment="1"/>
    <xf numFmtId="171" fontId="326" fillId="0" borderId="31" xfId="6" applyNumberFormat="1" applyFont="1" applyFill="1" applyBorder="1" applyAlignment="1"/>
    <xf numFmtId="171" fontId="329" fillId="0" borderId="31" xfId="6" applyNumberFormat="1" applyFont="1" applyFill="1" applyBorder="1" applyAlignment="1"/>
    <xf numFmtId="266" fontId="329" fillId="0" borderId="34" xfId="14654" applyNumberFormat="1" applyFont="1" applyBorder="1" applyAlignment="1">
      <alignment vertical="center"/>
    </xf>
    <xf numFmtId="171" fontId="39" fillId="41" borderId="28" xfId="14" applyNumberFormat="1" applyFont="1" applyFill="1" applyBorder="1" applyAlignment="1"/>
    <xf numFmtId="171" fontId="329" fillId="41" borderId="28" xfId="14" applyNumberFormat="1" applyFont="1" applyFill="1" applyBorder="1" applyAlignment="1"/>
    <xf numFmtId="3" fontId="329" fillId="41" borderId="28" xfId="14" applyNumberFormat="1" applyFont="1" applyFill="1" applyBorder="1" applyAlignment="1"/>
    <xf numFmtId="3" fontId="329" fillId="41" borderId="29" xfId="14" applyNumberFormat="1" applyFont="1" applyFill="1" applyBorder="1" applyAlignment="1"/>
    <xf numFmtId="171" fontId="39" fillId="41" borderId="31" xfId="6" applyNumberFormat="1" applyFont="1" applyFill="1" applyBorder="1" applyAlignment="1"/>
    <xf numFmtId="171" fontId="39" fillId="41" borderId="10" xfId="6" applyNumberFormat="1" applyFont="1" applyFill="1" applyBorder="1" applyAlignment="1"/>
    <xf numFmtId="3" fontId="329" fillId="0" borderId="28" xfId="6" applyNumberFormat="1" applyFont="1" applyBorder="1" applyAlignment="1"/>
    <xf numFmtId="0" fontId="46" fillId="0" borderId="0" xfId="5" applyFont="1"/>
    <xf numFmtId="0" fontId="38" fillId="0" borderId="21" xfId="5" applyFont="1" applyBorder="1" applyAlignment="1"/>
    <xf numFmtId="0" fontId="38" fillId="0" borderId="22" xfId="5" applyFont="1" applyBorder="1" applyAlignment="1"/>
    <xf numFmtId="0" fontId="38" fillId="0" borderId="23" xfId="5" applyFont="1" applyBorder="1" applyAlignment="1"/>
    <xf numFmtId="3" fontId="326" fillId="0" borderId="0" xfId="0" applyNumberFormat="1" applyFont="1" applyFill="1" applyBorder="1" applyAlignment="1"/>
    <xf numFmtId="3" fontId="329" fillId="0" borderId="31" xfId="6" applyNumberFormat="1" applyFont="1" applyBorder="1" applyAlignment="1"/>
    <xf numFmtId="3" fontId="331" fillId="0" borderId="31" xfId="6" applyNumberFormat="1" applyFont="1" applyFill="1" applyBorder="1" applyAlignment="1"/>
    <xf numFmtId="3" fontId="39" fillId="41" borderId="27" xfId="6" applyNumberFormat="1" applyFont="1" applyFill="1" applyBorder="1" applyAlignment="1"/>
    <xf numFmtId="3" fontId="326" fillId="41" borderId="28" xfId="6" applyNumberFormat="1" applyFont="1" applyFill="1" applyBorder="1" applyAlignment="1"/>
    <xf numFmtId="3" fontId="326" fillId="41" borderId="29" xfId="6" applyNumberFormat="1" applyFont="1" applyFill="1" applyBorder="1" applyAlignment="1"/>
    <xf numFmtId="3" fontId="329" fillId="41" borderId="28" xfId="6" applyNumberFormat="1" applyFont="1" applyFill="1" applyBorder="1" applyAlignment="1"/>
    <xf numFmtId="171" fontId="39" fillId="41" borderId="28" xfId="6" applyNumberFormat="1" applyFont="1" applyFill="1" applyBorder="1" applyAlignment="1"/>
    <xf numFmtId="171" fontId="39" fillId="41" borderId="36" xfId="6" applyNumberFormat="1" applyFont="1" applyFill="1" applyBorder="1" applyAlignment="1"/>
    <xf numFmtId="0" fontId="39" fillId="0" borderId="25" xfId="6" applyFont="1" applyBorder="1" applyAlignment="1">
      <alignment horizontal="left" indent="1"/>
    </xf>
    <xf numFmtId="171" fontId="38" fillId="0" borderId="31" xfId="14" applyNumberFormat="1" applyFont="1" applyFill="1" applyBorder="1" applyAlignment="1"/>
    <xf numFmtId="170" fontId="326" fillId="0" borderId="31" xfId="12" applyNumberFormat="1" applyFont="1" applyFill="1" applyBorder="1" applyAlignment="1">
      <alignment vertical="center"/>
    </xf>
    <xf numFmtId="10" fontId="39" fillId="41" borderId="27" xfId="12" applyNumberFormat="1" applyFont="1" applyFill="1" applyBorder="1" applyAlignment="1"/>
    <xf numFmtId="10" fontId="39" fillId="41" borderId="28" xfId="12" applyNumberFormat="1" applyFont="1" applyFill="1" applyBorder="1" applyAlignment="1"/>
    <xf numFmtId="10" fontId="39" fillId="41" borderId="36" xfId="12" applyNumberFormat="1" applyFont="1" applyFill="1" applyBorder="1" applyAlignment="1"/>
    <xf numFmtId="173" fontId="39" fillId="41" borderId="30" xfId="12" applyNumberFormat="1" applyFont="1" applyFill="1" applyBorder="1" applyAlignment="1"/>
    <xf numFmtId="173" fontId="39" fillId="41" borderId="31" xfId="12" applyNumberFormat="1" applyFont="1" applyFill="1" applyBorder="1" applyAlignment="1"/>
    <xf numFmtId="173" fontId="39" fillId="41" borderId="10" xfId="12" applyNumberFormat="1" applyFont="1" applyFill="1" applyBorder="1" applyAlignment="1"/>
    <xf numFmtId="0" fontId="46" fillId="0" borderId="0" xfId="6" applyFont="1" applyAlignment="1"/>
    <xf numFmtId="0" fontId="39" fillId="0" borderId="0" xfId="15" applyFont="1" applyFill="1" applyBorder="1" applyAlignment="1">
      <alignment horizontal="left"/>
    </xf>
    <xf numFmtId="0" fontId="44" fillId="0" borderId="0" xfId="15" applyFont="1" applyFill="1" applyAlignment="1">
      <alignment horizontal="left"/>
    </xf>
    <xf numFmtId="0" fontId="38" fillId="0" borderId="21" xfId="5" applyFont="1" applyBorder="1"/>
    <xf numFmtId="0" fontId="38" fillId="0" borderId="22" xfId="5" applyFont="1" applyBorder="1"/>
    <xf numFmtId="0" fontId="38" fillId="0" borderId="23" xfId="5" applyFont="1" applyBorder="1"/>
    <xf numFmtId="10" fontId="39" fillId="0" borderId="28" xfId="1" applyNumberFormat="1" applyFont="1" applyFill="1" applyBorder="1" applyAlignment="1"/>
    <xf numFmtId="10" fontId="39" fillId="0" borderId="31" xfId="1" applyNumberFormat="1" applyFont="1" applyFill="1" applyBorder="1" applyAlignment="1"/>
    <xf numFmtId="10" fontId="39" fillId="0" borderId="34" xfId="1" applyNumberFormat="1" applyFont="1" applyFill="1" applyBorder="1" applyAlignment="1"/>
    <xf numFmtId="4" fontId="314" fillId="0" borderId="106" xfId="0" applyNumberFormat="1" applyFont="1" applyFill="1" applyBorder="1" applyAlignment="1" applyProtection="1">
      <alignment horizontal="right" vertical="center"/>
    </xf>
    <xf numFmtId="0" fontId="214" fillId="141" borderId="107" xfId="0" applyFont="1" applyFill="1" applyBorder="1" applyAlignment="1" applyProtection="1">
      <alignment horizontal="right" vertical="center" wrapText="1"/>
    </xf>
    <xf numFmtId="3" fontId="308" fillId="0" borderId="106" xfId="0" applyNumberFormat="1" applyFont="1" applyFill="1" applyBorder="1" applyAlignment="1" applyProtection="1">
      <alignment horizontal="right" vertical="center"/>
    </xf>
    <xf numFmtId="3" fontId="314" fillId="0" borderId="106" xfId="0" applyNumberFormat="1" applyFont="1" applyFill="1" applyBorder="1" applyAlignment="1" applyProtection="1">
      <alignment horizontal="center" vertical="center"/>
    </xf>
    <xf numFmtId="170" fontId="308" fillId="0" borderId="106" xfId="0" applyNumberFormat="1" applyFont="1" applyFill="1" applyBorder="1" applyAlignment="1" applyProtection="1">
      <alignment horizontal="right" vertical="center"/>
    </xf>
    <xf numFmtId="3" fontId="336" fillId="0" borderId="106" xfId="0" applyNumberFormat="1" applyFont="1" applyFill="1" applyBorder="1" applyAlignment="1" applyProtection="1">
      <alignment horizontal="center" vertical="center"/>
    </xf>
    <xf numFmtId="4" fontId="314" fillId="0" borderId="106" xfId="0" applyNumberFormat="1" applyFont="1" applyFill="1" applyBorder="1" applyAlignment="1" applyProtection="1">
      <alignment horizontal="center" vertical="center"/>
    </xf>
    <xf numFmtId="171" fontId="49" fillId="41" borderId="18" xfId="5" applyNumberFormat="1" applyFont="1" applyFill="1" applyBorder="1"/>
    <xf numFmtId="171" fontId="49" fillId="41" borderId="19" xfId="5" applyNumberFormat="1" applyFont="1" applyFill="1" applyBorder="1"/>
    <xf numFmtId="0" fontId="39" fillId="0" borderId="14" xfId="14655" applyFont="1" applyFill="1" applyBorder="1" applyAlignment="1">
      <alignment vertical="center"/>
    </xf>
    <xf numFmtId="0" fontId="44" fillId="0" borderId="0" xfId="15" applyFont="1" applyFill="1"/>
    <xf numFmtId="165" fontId="44" fillId="0" borderId="0" xfId="14654" applyFont="1" applyFill="1"/>
    <xf numFmtId="0" fontId="38" fillId="0" borderId="14" xfId="14655" applyFont="1" applyFill="1" applyBorder="1" applyAlignment="1">
      <alignment vertical="center"/>
    </xf>
    <xf numFmtId="4" fontId="49" fillId="52" borderId="14" xfId="5" applyNumberFormat="1" applyFont="1" applyFill="1" applyBorder="1"/>
    <xf numFmtId="267" fontId="39" fillId="0" borderId="0" xfId="5" applyNumberFormat="1" applyFont="1"/>
    <xf numFmtId="268" fontId="39" fillId="0" borderId="0" xfId="14654" applyNumberFormat="1" applyFont="1"/>
    <xf numFmtId="3" fontId="39" fillId="0" borderId="31" xfId="6" applyNumberFormat="1" applyFont="1" applyFill="1" applyBorder="1" applyAlignment="1"/>
    <xf numFmtId="3" fontId="39" fillId="0" borderId="28" xfId="6" applyNumberFormat="1" applyFont="1" applyFill="1" applyBorder="1" applyAlignment="1"/>
    <xf numFmtId="171" fontId="39" fillId="0" borderId="16" xfId="14" applyNumberFormat="1" applyFont="1" applyFill="1" applyBorder="1" applyAlignment="1"/>
    <xf numFmtId="10" fontId="39" fillId="0" borderId="31" xfId="12" applyNumberFormat="1" applyFont="1" applyFill="1" applyBorder="1" applyAlignment="1">
      <alignment horizontal="right" vertical="center"/>
    </xf>
    <xf numFmtId="3" fontId="38" fillId="0" borderId="31" xfId="6" applyNumberFormat="1" applyFont="1" applyFill="1" applyBorder="1" applyAlignment="1"/>
    <xf numFmtId="10" fontId="39" fillId="0" borderId="34" xfId="12" applyNumberFormat="1" applyFont="1" applyFill="1" applyBorder="1" applyAlignment="1">
      <alignment horizontal="right" vertical="center"/>
    </xf>
    <xf numFmtId="170" fontId="39" fillId="0" borderId="34" xfId="12" applyNumberFormat="1" applyFont="1" applyFill="1" applyBorder="1" applyAlignment="1"/>
    <xf numFmtId="173" fontId="39" fillId="0" borderId="31" xfId="12" applyNumberFormat="1" applyFont="1" applyFill="1" applyBorder="1" applyAlignment="1"/>
    <xf numFmtId="170" fontId="39" fillId="0" borderId="31" xfId="12" applyNumberFormat="1" applyFont="1" applyFill="1" applyBorder="1" applyAlignment="1"/>
    <xf numFmtId="171" fontId="38" fillId="0" borderId="31" xfId="6" applyNumberFormat="1" applyFont="1" applyFill="1" applyBorder="1" applyAlignment="1"/>
    <xf numFmtId="4" fontId="38" fillId="0" borderId="31" xfId="6" applyNumberFormat="1" applyFont="1" applyFill="1" applyBorder="1" applyAlignment="1"/>
    <xf numFmtId="0" fontId="323" fillId="0" borderId="0" xfId="5" applyFont="1"/>
    <xf numFmtId="269" fontId="308" fillId="0" borderId="0" xfId="0" applyNumberFormat="1" applyFont="1"/>
    <xf numFmtId="3" fontId="339" fillId="0" borderId="29" xfId="0" applyNumberFormat="1" applyFont="1" applyFill="1" applyBorder="1" applyAlignment="1"/>
    <xf numFmtId="3" fontId="339" fillId="0" borderId="28" xfId="0" applyNumberFormat="1" applyFont="1" applyFill="1" applyBorder="1" applyAlignment="1"/>
    <xf numFmtId="3" fontId="339" fillId="41" borderId="32" xfId="6" applyNumberFormat="1" applyFont="1" applyFill="1" applyBorder="1" applyAlignment="1"/>
    <xf numFmtId="3" fontId="339" fillId="0" borderId="31" xfId="0" applyNumberFormat="1" applyFont="1" applyFill="1" applyBorder="1" applyAlignment="1"/>
    <xf numFmtId="3" fontId="339" fillId="0" borderId="32" xfId="0" applyNumberFormat="1" applyFont="1" applyFill="1" applyBorder="1" applyAlignment="1"/>
    <xf numFmtId="3" fontId="340" fillId="0" borderId="32" xfId="6" applyNumberFormat="1" applyFont="1" applyFill="1" applyBorder="1" applyAlignment="1"/>
    <xf numFmtId="3" fontId="340" fillId="0" borderId="31" xfId="6" applyNumberFormat="1" applyFont="1" applyFill="1" applyBorder="1" applyAlignment="1"/>
    <xf numFmtId="170" fontId="339" fillId="0" borderId="35" xfId="6" applyNumberFormat="1" applyFont="1" applyFill="1" applyBorder="1" applyAlignment="1"/>
    <xf numFmtId="170" fontId="339" fillId="0" borderId="34" xfId="6" applyNumberFormat="1" applyFont="1" applyFill="1" applyBorder="1" applyAlignment="1"/>
    <xf numFmtId="0" fontId="339" fillId="0" borderId="0" xfId="6" applyFont="1" applyBorder="1" applyAlignment="1">
      <alignment horizontal="left" indent="1"/>
    </xf>
    <xf numFmtId="0" fontId="339" fillId="0" borderId="0" xfId="6" applyFont="1" applyFill="1" applyBorder="1" applyAlignment="1">
      <alignment vertical="center"/>
    </xf>
    <xf numFmtId="3" fontId="339" fillId="0" borderId="0" xfId="6" applyNumberFormat="1" applyFont="1" applyFill="1" applyBorder="1" applyAlignment="1">
      <alignment vertical="center"/>
    </xf>
    <xf numFmtId="3" fontId="339" fillId="0" borderId="28" xfId="6" applyNumberFormat="1" applyFont="1" applyFill="1" applyBorder="1" applyAlignment="1"/>
    <xf numFmtId="3" fontId="339" fillId="0" borderId="29" xfId="6" applyNumberFormat="1" applyFont="1" applyFill="1" applyBorder="1" applyAlignment="1"/>
    <xf numFmtId="3" fontId="339" fillId="0" borderId="31" xfId="6" applyNumberFormat="1" applyFont="1" applyFill="1" applyBorder="1" applyAlignment="1"/>
    <xf numFmtId="3" fontId="339" fillId="0" borderId="32" xfId="6" applyNumberFormat="1" applyFont="1" applyFill="1" applyBorder="1" applyAlignment="1"/>
    <xf numFmtId="170" fontId="339" fillId="0" borderId="0" xfId="6" applyNumberFormat="1" applyFont="1" applyBorder="1" applyAlignment="1"/>
    <xf numFmtId="3" fontId="339" fillId="0" borderId="34" xfId="6" applyNumberFormat="1" applyFont="1" applyFill="1" applyBorder="1" applyAlignment="1"/>
    <xf numFmtId="3" fontId="339" fillId="0" borderId="35" xfId="6" applyNumberFormat="1" applyFont="1" applyFill="1" applyBorder="1" applyAlignment="1"/>
    <xf numFmtId="0" fontId="339" fillId="40" borderId="0" xfId="6" applyFont="1" applyFill="1" applyBorder="1" applyAlignment="1">
      <alignment vertical="center"/>
    </xf>
    <xf numFmtId="10" fontId="339" fillId="41" borderId="31" xfId="12" applyNumberFormat="1" applyFont="1" applyFill="1" applyBorder="1" applyAlignment="1">
      <alignment horizontal="right" vertical="center"/>
    </xf>
    <xf numFmtId="10" fontId="339" fillId="41" borderId="32" xfId="12" applyNumberFormat="1" applyFont="1" applyFill="1" applyBorder="1" applyAlignment="1">
      <alignment horizontal="right" vertical="center"/>
    </xf>
    <xf numFmtId="10" fontId="339" fillId="41" borderId="34" xfId="12" applyNumberFormat="1" applyFont="1" applyFill="1" applyBorder="1" applyAlignment="1">
      <alignment horizontal="right" vertical="center"/>
    </xf>
    <xf numFmtId="10" fontId="339" fillId="41" borderId="35" xfId="12" applyNumberFormat="1" applyFont="1" applyFill="1" applyBorder="1" applyAlignment="1">
      <alignment horizontal="right" vertical="center"/>
    </xf>
    <xf numFmtId="0" fontId="339" fillId="0" borderId="0" xfId="6" applyFont="1" applyFill="1" applyBorder="1" applyAlignment="1"/>
    <xf numFmtId="10" fontId="339" fillId="0" borderId="0" xfId="12" applyNumberFormat="1" applyFont="1" applyFill="1" applyBorder="1" applyAlignment="1">
      <alignment horizontal="right" vertical="center"/>
    </xf>
    <xf numFmtId="171" fontId="339" fillId="0" borderId="0" xfId="6" applyNumberFormat="1" applyFont="1" applyFill="1" applyBorder="1" applyAlignment="1"/>
    <xf numFmtId="3" fontId="339" fillId="0" borderId="0" xfId="12" applyNumberFormat="1" applyFont="1" applyFill="1" applyBorder="1" applyAlignment="1">
      <alignment horizontal="right" vertical="center"/>
    </xf>
    <xf numFmtId="3" fontId="339" fillId="0" borderId="0" xfId="6" applyNumberFormat="1" applyFont="1" applyBorder="1" applyAlignment="1"/>
    <xf numFmtId="171" fontId="339" fillId="0" borderId="0" xfId="6" applyNumberFormat="1" applyFont="1" applyBorder="1" applyAlignment="1"/>
    <xf numFmtId="3" fontId="339" fillId="0" borderId="0" xfId="14" applyNumberFormat="1" applyFont="1" applyFill="1" applyBorder="1" applyAlignment="1"/>
    <xf numFmtId="3" fontId="340" fillId="0" borderId="34" xfId="6" applyNumberFormat="1" applyFont="1" applyFill="1" applyBorder="1" applyAlignment="1"/>
    <xf numFmtId="3" fontId="340" fillId="0" borderId="35" xfId="6" applyNumberFormat="1" applyFont="1" applyFill="1" applyBorder="1" applyAlignment="1"/>
    <xf numFmtId="10" fontId="339" fillId="0" borderId="29" xfId="12" applyNumberFormat="1" applyFont="1" applyFill="1" applyBorder="1" applyAlignment="1"/>
    <xf numFmtId="10" fontId="339" fillId="0" borderId="28" xfId="12" applyNumberFormat="1" applyFont="1" applyFill="1" applyBorder="1" applyAlignment="1"/>
    <xf numFmtId="173" fontId="339" fillId="0" borderId="32" xfId="12" applyNumberFormat="1" applyFont="1" applyFill="1" applyBorder="1" applyAlignment="1"/>
    <xf numFmtId="173" fontId="339" fillId="0" borderId="31" xfId="12" applyNumberFormat="1" applyFont="1" applyFill="1" applyBorder="1" applyAlignment="1"/>
    <xf numFmtId="3" fontId="340" fillId="0" borderId="31" xfId="6" applyNumberFormat="1" applyFont="1" applyBorder="1" applyAlignment="1"/>
    <xf numFmtId="3" fontId="340" fillId="0" borderId="32" xfId="6" applyNumberFormat="1" applyFont="1" applyBorder="1" applyAlignment="1"/>
    <xf numFmtId="170" fontId="339" fillId="0" borderId="32" xfId="12" applyNumberFormat="1" applyFont="1" applyBorder="1" applyAlignment="1"/>
    <xf numFmtId="170" fontId="339" fillId="0" borderId="31" xfId="12" applyNumberFormat="1" applyFont="1" applyFill="1" applyBorder="1" applyAlignment="1"/>
    <xf numFmtId="170" fontId="339" fillId="0" borderId="32" xfId="12" applyNumberFormat="1" applyFont="1" applyFill="1" applyBorder="1" applyAlignment="1"/>
    <xf numFmtId="171" fontId="340" fillId="0" borderId="32" xfId="6" applyNumberFormat="1" applyFont="1" applyBorder="1" applyAlignment="1"/>
    <xf numFmtId="4" fontId="340" fillId="0" borderId="32" xfId="6" applyNumberFormat="1" applyFont="1" applyBorder="1" applyAlignment="1"/>
    <xf numFmtId="4" fontId="340" fillId="0" borderId="31" xfId="6" applyNumberFormat="1" applyFont="1" applyFill="1" applyBorder="1" applyAlignment="1"/>
    <xf numFmtId="4" fontId="340" fillId="0" borderId="32" xfId="6" applyNumberFormat="1" applyFont="1" applyFill="1" applyBorder="1" applyAlignment="1"/>
    <xf numFmtId="170" fontId="339" fillId="0" borderId="35" xfId="12" applyNumberFormat="1" applyFont="1" applyBorder="1" applyAlignment="1"/>
    <xf numFmtId="170" fontId="339" fillId="0" borderId="34" xfId="12" applyNumberFormat="1" applyFont="1" applyFill="1" applyBorder="1" applyAlignment="1"/>
    <xf numFmtId="170" fontId="339" fillId="0" borderId="35" xfId="12" applyNumberFormat="1" applyFont="1" applyFill="1" applyBorder="1" applyAlignment="1"/>
    <xf numFmtId="10" fontId="327" fillId="0" borderId="29" xfId="12" applyNumberFormat="1" applyFont="1" applyFill="1" applyBorder="1" applyAlignment="1"/>
    <xf numFmtId="10" fontId="327" fillId="0" borderId="28" xfId="12" applyNumberFormat="1" applyFont="1" applyFill="1" applyBorder="1" applyAlignment="1"/>
    <xf numFmtId="171" fontId="341" fillId="0" borderId="31" xfId="6" applyNumberFormat="1" applyFont="1" applyFill="1" applyBorder="1" applyAlignment="1"/>
    <xf numFmtId="171" fontId="341" fillId="0" borderId="32" xfId="6" applyNumberFormat="1" applyFont="1" applyFill="1" applyBorder="1" applyAlignment="1"/>
    <xf numFmtId="3" fontId="327" fillId="0" borderId="29" xfId="0" applyNumberFormat="1" applyFont="1" applyFill="1" applyBorder="1" applyAlignment="1"/>
    <xf numFmtId="3" fontId="327" fillId="0" borderId="28" xfId="0" applyNumberFormat="1" applyFont="1" applyFill="1" applyBorder="1" applyAlignment="1"/>
    <xf numFmtId="3" fontId="327" fillId="41" borderId="32" xfId="6" applyNumberFormat="1" applyFont="1" applyFill="1" applyBorder="1" applyAlignment="1"/>
    <xf numFmtId="3" fontId="327" fillId="0" borderId="31" xfId="6" applyNumberFormat="1" applyFont="1" applyFill="1" applyBorder="1" applyAlignment="1"/>
    <xf numFmtId="3" fontId="327" fillId="0" borderId="32" xfId="6" applyNumberFormat="1" applyFont="1" applyFill="1" applyBorder="1" applyAlignment="1"/>
    <xf numFmtId="3" fontId="327" fillId="0" borderId="32" xfId="0" applyNumberFormat="1" applyFont="1" applyFill="1" applyBorder="1" applyAlignment="1"/>
    <xf numFmtId="3" fontId="327" fillId="0" borderId="31" xfId="0" applyNumberFormat="1" applyFont="1" applyFill="1" applyBorder="1" applyAlignment="1"/>
    <xf numFmtId="3" fontId="327" fillId="0" borderId="28" xfId="6" applyNumberFormat="1" applyFont="1" applyFill="1" applyBorder="1" applyAlignment="1"/>
    <xf numFmtId="3" fontId="327" fillId="0" borderId="29" xfId="6" applyNumberFormat="1" applyFont="1" applyFill="1" applyBorder="1" applyAlignment="1"/>
    <xf numFmtId="10" fontId="327" fillId="0" borderId="31" xfId="12" applyNumberFormat="1" applyFont="1" applyFill="1" applyBorder="1" applyAlignment="1">
      <alignment horizontal="right" vertical="center"/>
    </xf>
    <xf numFmtId="10" fontId="327" fillId="0" borderId="32" xfId="12" applyNumberFormat="1" applyFont="1" applyFill="1" applyBorder="1" applyAlignment="1">
      <alignment horizontal="right" vertical="center"/>
    </xf>
    <xf numFmtId="10" fontId="327" fillId="0" borderId="34" xfId="12" applyNumberFormat="1" applyFont="1" applyFill="1" applyBorder="1" applyAlignment="1">
      <alignment horizontal="right" vertical="center"/>
    </xf>
    <xf numFmtId="10" fontId="327" fillId="0" borderId="35" xfId="12" applyNumberFormat="1" applyFont="1" applyFill="1" applyBorder="1" applyAlignment="1">
      <alignment horizontal="right" vertical="center"/>
    </xf>
    <xf numFmtId="3" fontId="327" fillId="0" borderId="34" xfId="6" applyNumberFormat="1" applyFont="1" applyFill="1" applyBorder="1" applyAlignment="1"/>
    <xf numFmtId="3" fontId="327" fillId="0" borderId="35" xfId="6" applyNumberFormat="1" applyFont="1" applyFill="1" applyBorder="1" applyAlignment="1"/>
    <xf numFmtId="10" fontId="327" fillId="0" borderId="0" xfId="12" applyNumberFormat="1" applyFont="1" applyFill="1" applyBorder="1" applyAlignment="1">
      <alignment horizontal="right" vertical="center"/>
    </xf>
    <xf numFmtId="10" fontId="339" fillId="0" borderId="28" xfId="12" applyNumberFormat="1" applyFont="1" applyFill="1" applyBorder="1" applyAlignment="1">
      <alignment horizontal="right" vertical="center"/>
    </xf>
    <xf numFmtId="10" fontId="339" fillId="0" borderId="29" xfId="12" applyNumberFormat="1" applyFont="1" applyFill="1" applyBorder="1" applyAlignment="1">
      <alignment horizontal="right" vertical="center"/>
    </xf>
    <xf numFmtId="170" fontId="339" fillId="0" borderId="31" xfId="12" applyNumberFormat="1" applyFont="1" applyBorder="1" applyAlignment="1"/>
    <xf numFmtId="171" fontId="340" fillId="0" borderId="31" xfId="6" applyNumberFormat="1" applyFont="1" applyBorder="1" applyAlignment="1"/>
    <xf numFmtId="4" fontId="340" fillId="0" borderId="31" xfId="6" applyNumberFormat="1" applyFont="1" applyBorder="1" applyAlignment="1"/>
    <xf numFmtId="170" fontId="339" fillId="0" borderId="34" xfId="12" applyNumberFormat="1" applyFont="1" applyBorder="1" applyAlignment="1"/>
    <xf numFmtId="3" fontId="327" fillId="41" borderId="31" xfId="6" applyNumberFormat="1" applyFont="1" applyFill="1" applyBorder="1" applyAlignment="1"/>
    <xf numFmtId="3" fontId="342" fillId="0" borderId="28" xfId="6" applyNumberFormat="1" applyFont="1" applyFill="1" applyBorder="1" applyAlignment="1"/>
    <xf numFmtId="3" fontId="339" fillId="41" borderId="31" xfId="6" applyNumberFormat="1" applyFont="1" applyFill="1" applyBorder="1" applyAlignment="1"/>
    <xf numFmtId="170" fontId="339" fillId="0" borderId="0" xfId="6" applyNumberFormat="1" applyFont="1" applyFill="1" applyBorder="1" applyAlignment="1"/>
    <xf numFmtId="171" fontId="339" fillId="41" borderId="28" xfId="6" applyNumberFormat="1" applyFont="1" applyFill="1" applyBorder="1" applyAlignment="1"/>
    <xf numFmtId="171" fontId="339" fillId="41" borderId="29" xfId="6" applyNumberFormat="1" applyFont="1" applyFill="1" applyBorder="1" applyAlignment="1"/>
    <xf numFmtId="171" fontId="339" fillId="41" borderId="31" xfId="6" applyNumberFormat="1" applyFont="1" applyFill="1" applyBorder="1" applyAlignment="1"/>
    <xf numFmtId="171" fontId="339" fillId="41" borderId="32" xfId="6" applyNumberFormat="1" applyFont="1" applyFill="1" applyBorder="1" applyAlignment="1"/>
    <xf numFmtId="171" fontId="339" fillId="41" borderId="34" xfId="6" applyNumberFormat="1" applyFont="1" applyFill="1" applyBorder="1" applyAlignment="1"/>
    <xf numFmtId="171" fontId="339" fillId="41" borderId="35" xfId="6" applyNumberFormat="1" applyFont="1" applyFill="1" applyBorder="1" applyAlignment="1"/>
    <xf numFmtId="171" fontId="339" fillId="0" borderId="0" xfId="14" applyNumberFormat="1" applyFont="1" applyFill="1" applyBorder="1" applyAlignment="1"/>
    <xf numFmtId="170" fontId="339" fillId="0" borderId="0" xfId="12" applyNumberFormat="1" applyFont="1" applyFill="1" applyBorder="1" applyAlignment="1">
      <alignment vertical="center"/>
    </xf>
    <xf numFmtId="10" fontId="339" fillId="41" borderId="28" xfId="12" applyNumberFormat="1" applyFont="1" applyFill="1" applyBorder="1" applyAlignment="1"/>
    <xf numFmtId="10" fontId="339" fillId="41" borderId="29" xfId="12" applyNumberFormat="1" applyFont="1" applyFill="1" applyBorder="1" applyAlignment="1"/>
    <xf numFmtId="173" fontId="339" fillId="41" borderId="31" xfId="12" applyNumberFormat="1" applyFont="1" applyFill="1" applyBorder="1" applyAlignment="1"/>
    <xf numFmtId="173" fontId="339" fillId="41" borderId="32" xfId="12" applyNumberFormat="1" applyFont="1" applyFill="1" applyBorder="1" applyAlignment="1"/>
    <xf numFmtId="3" fontId="339" fillId="0" borderId="16" xfId="14" applyNumberFormat="1" applyFont="1" applyFill="1" applyBorder="1" applyAlignment="1"/>
    <xf numFmtId="3" fontId="339" fillId="0" borderId="17" xfId="14" applyNumberFormat="1" applyFont="1" applyFill="1" applyBorder="1" applyAlignment="1"/>
    <xf numFmtId="174" fontId="39" fillId="0" borderId="0" xfId="6" applyNumberFormat="1" applyFont="1" applyAlignment="1"/>
    <xf numFmtId="270" fontId="332" fillId="0" borderId="0" xfId="14654" applyNumberFormat="1" applyFont="1" applyFill="1" applyBorder="1" applyAlignment="1">
      <alignment vertical="center"/>
    </xf>
    <xf numFmtId="271" fontId="49" fillId="0" borderId="0" xfId="14654" applyNumberFormat="1" applyFont="1" applyFill="1" applyBorder="1"/>
    <xf numFmtId="169" fontId="31" fillId="0" borderId="0" xfId="2" applyNumberFormat="1" applyFont="1" applyFill="1" applyBorder="1" applyAlignment="1">
      <alignment horizontal="right"/>
    </xf>
    <xf numFmtId="49" fontId="21" fillId="0" borderId="0" xfId="1904" quotePrefix="1" applyNumberFormat="1" applyFont="1" applyFill="1" applyAlignment="1">
      <alignment horizontal="center" vertical="center"/>
    </xf>
    <xf numFmtId="0" fontId="21" fillId="0" borderId="0" xfId="2386" applyFont="1" applyFill="1" applyAlignment="1"/>
    <xf numFmtId="0" fontId="20" fillId="44" borderId="10" xfId="1904" applyFont="1" applyFill="1" applyBorder="1" applyAlignment="1"/>
    <xf numFmtId="49" fontId="30" fillId="0" borderId="0" xfId="1904" applyNumberFormat="1" applyFont="1" applyFill="1" applyAlignment="1">
      <alignment horizontal="center" vertical="center"/>
    </xf>
    <xf numFmtId="0" fontId="30" fillId="0" borderId="0" xfId="1904" applyFont="1" applyFill="1" applyAlignment="1">
      <alignment horizontal="left" indent="2"/>
    </xf>
    <xf numFmtId="0" fontId="31" fillId="0" borderId="10" xfId="1904" applyFont="1" applyFill="1" applyBorder="1" applyAlignment="1"/>
    <xf numFmtId="169" fontId="31" fillId="0" borderId="0" xfId="1904" applyNumberFormat="1" applyFont="1" applyFill="1" applyBorder="1" applyAlignment="1"/>
    <xf numFmtId="0" fontId="21" fillId="34" borderId="0" xfId="6467" applyFont="1" applyFill="1" applyAlignment="1">
      <alignment vertical="center"/>
    </xf>
    <xf numFmtId="0" fontId="44" fillId="46" borderId="10" xfId="6" applyFont="1" applyFill="1" applyBorder="1" applyAlignment="1"/>
    <xf numFmtId="0" fontId="20" fillId="46" borderId="0" xfId="6" applyFont="1" applyFill="1" applyAlignment="1"/>
    <xf numFmtId="0" fontId="343" fillId="0" borderId="0" xfId="5" applyFont="1" applyAlignment="1">
      <alignment horizontal="center" vertical="center"/>
    </xf>
    <xf numFmtId="49" fontId="343" fillId="0" borderId="0" xfId="5" quotePrefix="1" applyNumberFormat="1" applyFont="1" applyAlignment="1">
      <alignment horizontal="center" vertical="center"/>
    </xf>
    <xf numFmtId="0" fontId="21" fillId="0" borderId="0" xfId="11" applyFont="1" applyFill="1" applyAlignment="1">
      <alignment vertical="center"/>
    </xf>
    <xf numFmtId="0" fontId="344" fillId="34" borderId="0" xfId="5" applyFont="1" applyFill="1" applyAlignment="1">
      <alignment vertical="center"/>
    </xf>
    <xf numFmtId="0" fontId="328" fillId="0" borderId="0" xfId="6681" applyFont="1" applyFill="1" applyAlignment="1">
      <alignment vertical="center"/>
    </xf>
    <xf numFmtId="0" fontId="30" fillId="0" borderId="0" xfId="11" applyFont="1" applyAlignment="1">
      <alignment horizontal="left" vertical="center" indent="2"/>
    </xf>
    <xf numFmtId="0" fontId="44" fillId="0" borderId="10" xfId="11" applyFont="1" applyBorder="1" applyAlignment="1">
      <alignment vertical="center"/>
    </xf>
    <xf numFmtId="0" fontId="345" fillId="34" borderId="0" xfId="5" applyFont="1" applyFill="1" applyAlignment="1">
      <alignment vertical="center"/>
    </xf>
    <xf numFmtId="169" fontId="31" fillId="0" borderId="0" xfId="3766" applyNumberFormat="1" applyFont="1" applyFill="1" applyAlignment="1">
      <alignment vertical="center"/>
    </xf>
    <xf numFmtId="0" fontId="30" fillId="0" borderId="0" xfId="11" applyFont="1" applyFill="1" applyAlignment="1">
      <alignment horizontal="left" vertical="center" indent="2"/>
    </xf>
    <xf numFmtId="4" fontId="31" fillId="0" borderId="0" xfId="3766" applyNumberFormat="1" applyFont="1" applyFill="1" applyAlignment="1">
      <alignment vertical="center"/>
    </xf>
    <xf numFmtId="0" fontId="21" fillId="0" borderId="0" xfId="11" applyFont="1"/>
    <xf numFmtId="0" fontId="21" fillId="34" borderId="0" xfId="4" applyFont="1" applyFill="1" applyBorder="1"/>
    <xf numFmtId="49" fontId="343" fillId="0" borderId="0" xfId="5" quotePrefix="1" applyNumberFormat="1" applyFont="1" applyFill="1" applyAlignment="1">
      <alignment horizontal="center" vertical="center"/>
    </xf>
    <xf numFmtId="0" fontId="30" fillId="0" borderId="0" xfId="11" applyFont="1" applyFill="1" applyAlignment="1">
      <alignment horizontal="left" indent="2"/>
    </xf>
    <xf numFmtId="0" fontId="31" fillId="0" borderId="10" xfId="0" applyFont="1" applyBorder="1"/>
    <xf numFmtId="0" fontId="344" fillId="34" borderId="0" xfId="5" applyFont="1" applyFill="1"/>
    <xf numFmtId="4" fontId="328" fillId="0" borderId="0" xfId="6681" applyNumberFormat="1" applyFont="1" applyFill="1" applyAlignment="1">
      <alignment vertical="center"/>
    </xf>
    <xf numFmtId="0" fontId="343" fillId="0" borderId="0" xfId="5" applyFont="1" applyFill="1" applyAlignment="1">
      <alignment horizontal="center" vertical="center"/>
    </xf>
    <xf numFmtId="10" fontId="345" fillId="0" borderId="0" xfId="8311" applyNumberFormat="1" applyFont="1" applyFill="1" applyAlignment="1">
      <alignment vertical="center"/>
    </xf>
    <xf numFmtId="0" fontId="20" fillId="46" borderId="10" xfId="6" applyFont="1" applyFill="1" applyBorder="1" applyAlignment="1"/>
    <xf numFmtId="0" fontId="21" fillId="0" borderId="0" xfId="1904" applyFont="1" applyFill="1" applyAlignment="1"/>
    <xf numFmtId="0" fontId="21" fillId="0" borderId="0" xfId="11" applyFont="1" applyFill="1"/>
    <xf numFmtId="3" fontId="39" fillId="0" borderId="32" xfId="6" applyNumberFormat="1" applyFont="1" applyFill="1" applyBorder="1" applyAlignment="1"/>
    <xf numFmtId="3" fontId="39" fillId="0" borderId="29" xfId="6" applyNumberFormat="1" applyFont="1" applyFill="1" applyBorder="1" applyAlignment="1"/>
    <xf numFmtId="3" fontId="39" fillId="41" borderId="32" xfId="6" applyNumberFormat="1" applyFont="1" applyFill="1" applyBorder="1" applyAlignment="1"/>
    <xf numFmtId="3" fontId="39" fillId="0" borderId="29" xfId="0" applyNumberFormat="1" applyFont="1" applyFill="1" applyBorder="1" applyAlignment="1"/>
    <xf numFmtId="165" fontId="329" fillId="0" borderId="0" xfId="14654" applyFont="1" applyFill="1" applyBorder="1" applyAlignment="1">
      <alignment vertical="center"/>
    </xf>
    <xf numFmtId="0" fontId="333" fillId="0" borderId="16" xfId="0" applyFont="1" applyFill="1" applyBorder="1" applyAlignment="1">
      <alignment horizontal="center" wrapText="1"/>
    </xf>
    <xf numFmtId="0" fontId="38" fillId="0" borderId="16" xfId="0" applyFont="1" applyFill="1" applyBorder="1" applyAlignment="1">
      <alignment horizontal="center" wrapText="1"/>
    </xf>
    <xf numFmtId="0" fontId="346" fillId="0" borderId="0" xfId="6" applyFont="1" applyFill="1" applyAlignment="1"/>
    <xf numFmtId="0" fontId="346" fillId="0" borderId="0" xfId="6" applyFont="1" applyFill="1" applyBorder="1" applyAlignment="1"/>
    <xf numFmtId="0" fontId="346" fillId="0" borderId="0" xfId="5" applyFont="1" applyFill="1"/>
    <xf numFmtId="170" fontId="39" fillId="41" borderId="34" xfId="6" applyNumberFormat="1" applyFont="1" applyFill="1" applyBorder="1" applyAlignment="1"/>
    <xf numFmtId="3" fontId="38" fillId="41" borderId="34" xfId="6" applyNumberFormat="1" applyFont="1" applyFill="1" applyBorder="1" applyAlignment="1"/>
    <xf numFmtId="170" fontId="39" fillId="41" borderId="31" xfId="12" applyNumberFormat="1" applyFont="1" applyFill="1" applyBorder="1" applyAlignment="1"/>
    <xf numFmtId="3" fontId="323" fillId="41" borderId="28" xfId="6" applyNumberFormat="1" applyFont="1" applyFill="1" applyBorder="1" applyAlignment="1"/>
    <xf numFmtId="3" fontId="323" fillId="41" borderId="31" xfId="6" applyNumberFormat="1" applyFont="1" applyFill="1" applyBorder="1" applyAlignment="1"/>
    <xf numFmtId="3" fontId="338" fillId="41" borderId="34" xfId="6" applyNumberFormat="1" applyFont="1" applyFill="1" applyBorder="1" applyAlignment="1"/>
    <xf numFmtId="0" fontId="347" fillId="0" borderId="0" xfId="5" applyFont="1"/>
    <xf numFmtId="10" fontId="46" fillId="0" borderId="0" xfId="9" applyNumberFormat="1" applyFont="1" applyFill="1" applyBorder="1" applyAlignment="1">
      <alignment vertical="center"/>
    </xf>
    <xf numFmtId="10" fontId="332" fillId="0" borderId="0" xfId="13" applyNumberFormat="1" applyFont="1" applyFill="1" applyBorder="1" applyAlignment="1">
      <alignment horizontal="left" vertical="center" indent="2"/>
    </xf>
    <xf numFmtId="10" fontId="332" fillId="0" borderId="0" xfId="9" applyNumberFormat="1" applyFont="1" applyFill="1" applyBorder="1" applyAlignment="1">
      <alignment vertical="center"/>
    </xf>
    <xf numFmtId="0" fontId="332" fillId="0" borderId="0" xfId="5" applyFont="1"/>
    <xf numFmtId="174" fontId="46" fillId="0" borderId="0" xfId="6" applyNumberFormat="1" applyFont="1" applyAlignment="1"/>
    <xf numFmtId="0" fontId="46" fillId="0" borderId="0" xfId="6" applyFont="1" applyFill="1" applyAlignment="1"/>
    <xf numFmtId="0" fontId="333" fillId="0" borderId="0" xfId="6" applyFont="1" applyAlignment="1"/>
    <xf numFmtId="0" fontId="46" fillId="0" borderId="0" xfId="6" applyFont="1" applyFill="1" applyBorder="1" applyAlignment="1">
      <alignment vertical="center"/>
    </xf>
    <xf numFmtId="3" fontId="342" fillId="0" borderId="27" xfId="0" applyNumberFormat="1" applyFont="1" applyFill="1" applyBorder="1" applyAlignment="1"/>
    <xf numFmtId="3" fontId="342" fillId="0" borderId="28" xfId="0" applyNumberFormat="1" applyFont="1" applyFill="1" applyBorder="1" applyAlignment="1"/>
    <xf numFmtId="3" fontId="342" fillId="41" borderId="30" xfId="6" applyNumberFormat="1" applyFont="1" applyFill="1" applyBorder="1" applyAlignment="1"/>
    <xf numFmtId="3" fontId="342" fillId="41" borderId="31" xfId="6" applyNumberFormat="1" applyFont="1" applyFill="1" applyBorder="1" applyAlignment="1"/>
    <xf numFmtId="3" fontId="342" fillId="0" borderId="30" xfId="0" applyNumberFormat="1" applyFont="1" applyFill="1" applyBorder="1" applyAlignment="1"/>
    <xf numFmtId="3" fontId="342" fillId="0" borderId="31" xfId="0" applyNumberFormat="1" applyFont="1" applyFill="1" applyBorder="1" applyAlignment="1"/>
    <xf numFmtId="3" fontId="348" fillId="0" borderId="30" xfId="6" applyNumberFormat="1" applyFont="1" applyFill="1" applyBorder="1" applyAlignment="1"/>
    <xf numFmtId="3" fontId="348" fillId="0" borderId="31" xfId="6" applyNumberFormat="1" applyFont="1" applyFill="1" applyBorder="1" applyAlignment="1"/>
    <xf numFmtId="170" fontId="349" fillId="0" borderId="33" xfId="6" applyNumberFormat="1" applyFont="1" applyFill="1" applyBorder="1" applyAlignment="1"/>
    <xf numFmtId="170" fontId="349" fillId="0" borderId="34" xfId="6" applyNumberFormat="1" applyFont="1" applyFill="1" applyBorder="1" applyAlignment="1"/>
    <xf numFmtId="170" fontId="349" fillId="0" borderId="0" xfId="6" applyNumberFormat="1" applyFont="1" applyFill="1" applyBorder="1" applyAlignment="1"/>
    <xf numFmtId="0" fontId="349" fillId="0" borderId="0" xfId="6" applyFont="1" applyFill="1" applyBorder="1" applyAlignment="1">
      <alignment vertical="center"/>
    </xf>
    <xf numFmtId="3" fontId="349" fillId="41" borderId="27" xfId="6" applyNumberFormat="1" applyFont="1" applyFill="1" applyBorder="1" applyAlignment="1"/>
    <xf numFmtId="3" fontId="349" fillId="41" borderId="28" xfId="6" applyNumberFormat="1" applyFont="1" applyFill="1" applyBorder="1" applyAlignment="1"/>
    <xf numFmtId="3" fontId="349" fillId="41" borderId="30" xfId="6" applyNumberFormat="1" applyFont="1" applyFill="1" applyBorder="1" applyAlignment="1"/>
    <xf numFmtId="3" fontId="349" fillId="41" borderId="31" xfId="6" applyNumberFormat="1" applyFont="1" applyFill="1" applyBorder="1" applyAlignment="1"/>
    <xf numFmtId="3" fontId="342" fillId="0" borderId="30" xfId="6" applyNumberFormat="1" applyFont="1" applyFill="1" applyBorder="1" applyAlignment="1"/>
    <xf numFmtId="3" fontId="342" fillId="0" borderId="31" xfId="6" applyNumberFormat="1" applyFont="1" applyFill="1" applyBorder="1" applyAlignment="1"/>
    <xf numFmtId="170" fontId="349" fillId="0" borderId="0" xfId="6" applyNumberFormat="1" applyFont="1" applyBorder="1" applyAlignment="1"/>
    <xf numFmtId="3" fontId="349" fillId="0" borderId="27" xfId="6" applyNumberFormat="1" applyFont="1" applyFill="1" applyBorder="1" applyAlignment="1"/>
    <xf numFmtId="3" fontId="349" fillId="0" borderId="28" xfId="6" applyNumberFormat="1" applyFont="1" applyFill="1" applyBorder="1" applyAlignment="1"/>
    <xf numFmtId="3" fontId="349" fillId="0" borderId="30" xfId="6" applyNumberFormat="1" applyFont="1" applyFill="1" applyBorder="1" applyAlignment="1"/>
    <xf numFmtId="3" fontId="349" fillId="0" borderId="31" xfId="6" applyNumberFormat="1" applyFont="1" applyFill="1" applyBorder="1" applyAlignment="1"/>
    <xf numFmtId="3" fontId="348" fillId="0" borderId="33" xfId="6" applyNumberFormat="1" applyFont="1" applyFill="1" applyBorder="1" applyAlignment="1"/>
    <xf numFmtId="3" fontId="348" fillId="0" borderId="34" xfId="6" applyNumberFormat="1" applyFont="1" applyFill="1" applyBorder="1" applyAlignment="1"/>
    <xf numFmtId="0" fontId="349" fillId="40" borderId="0" xfId="6" applyFont="1" applyFill="1" applyBorder="1" applyAlignment="1">
      <alignment vertical="center"/>
    </xf>
    <xf numFmtId="10" fontId="349" fillId="0" borderId="27" xfId="12" applyNumberFormat="1" applyFont="1" applyFill="1" applyBorder="1" applyAlignment="1">
      <alignment horizontal="right" vertical="center"/>
    </xf>
    <xf numFmtId="10" fontId="349" fillId="0" borderId="28" xfId="12" applyNumberFormat="1" applyFont="1" applyFill="1" applyBorder="1" applyAlignment="1">
      <alignment horizontal="right" vertical="center"/>
    </xf>
    <xf numFmtId="10" fontId="342" fillId="0" borderId="30" xfId="12" applyNumberFormat="1" applyFont="1" applyFill="1" applyBorder="1" applyAlignment="1">
      <alignment horizontal="right" vertical="center"/>
    </xf>
    <xf numFmtId="10" fontId="342" fillId="0" borderId="31" xfId="12" applyNumberFormat="1" applyFont="1" applyFill="1" applyBorder="1" applyAlignment="1">
      <alignment horizontal="right" vertical="center"/>
    </xf>
    <xf numFmtId="10" fontId="342" fillId="0" borderId="33" xfId="12" applyNumberFormat="1" applyFont="1" applyFill="1" applyBorder="1" applyAlignment="1">
      <alignment horizontal="right" vertical="center"/>
    </xf>
    <xf numFmtId="10" fontId="342" fillId="0" borderId="34" xfId="12" applyNumberFormat="1" applyFont="1" applyFill="1" applyBorder="1" applyAlignment="1">
      <alignment horizontal="right" vertical="center"/>
    </xf>
    <xf numFmtId="10" fontId="349" fillId="0" borderId="0" xfId="12" applyNumberFormat="1" applyFont="1" applyFill="1" applyBorder="1" applyAlignment="1">
      <alignment horizontal="right" vertical="center"/>
    </xf>
    <xf numFmtId="171" fontId="349" fillId="0" borderId="0" xfId="6" applyNumberFormat="1" applyFont="1" applyFill="1" applyBorder="1" applyAlignment="1"/>
    <xf numFmtId="171" fontId="349" fillId="0" borderId="0" xfId="6" applyNumberFormat="1" applyFont="1" applyBorder="1" applyAlignment="1"/>
    <xf numFmtId="171" fontId="349" fillId="41" borderId="27" xfId="6" applyNumberFormat="1" applyFont="1" applyFill="1" applyBorder="1" applyAlignment="1"/>
    <xf numFmtId="171" fontId="349" fillId="41" borderId="28" xfId="6" applyNumberFormat="1" applyFont="1" applyFill="1" applyBorder="1" applyAlignment="1"/>
    <xf numFmtId="171" fontId="349" fillId="41" borderId="30" xfId="6" applyNumberFormat="1" applyFont="1" applyFill="1" applyBorder="1" applyAlignment="1"/>
    <xf numFmtId="171" fontId="349" fillId="41" borderId="31" xfId="6" applyNumberFormat="1" applyFont="1" applyFill="1" applyBorder="1" applyAlignment="1"/>
    <xf numFmtId="171" fontId="349" fillId="41" borderId="33" xfId="6" applyNumberFormat="1" applyFont="1" applyFill="1" applyBorder="1" applyAlignment="1"/>
    <xf numFmtId="171" fontId="349" fillId="41" borderId="34" xfId="6" applyNumberFormat="1" applyFont="1" applyFill="1" applyBorder="1" applyAlignment="1"/>
    <xf numFmtId="3" fontId="349" fillId="0" borderId="33" xfId="6" applyNumberFormat="1" applyFont="1" applyFill="1" applyBorder="1" applyAlignment="1"/>
    <xf numFmtId="3" fontId="349" fillId="0" borderId="34" xfId="6" applyNumberFormat="1" applyFont="1" applyFill="1" applyBorder="1" applyAlignment="1"/>
    <xf numFmtId="171" fontId="349" fillId="0" borderId="0" xfId="14" applyNumberFormat="1" applyFont="1" applyFill="1" applyBorder="1" applyAlignment="1"/>
    <xf numFmtId="170" fontId="349" fillId="0" borderId="0" xfId="12" applyNumberFormat="1" applyFont="1" applyFill="1" applyBorder="1" applyAlignment="1">
      <alignment vertical="center"/>
    </xf>
    <xf numFmtId="10" fontId="349" fillId="41" borderId="27" xfId="12" applyNumberFormat="1" applyFont="1" applyFill="1" applyBorder="1" applyAlignment="1"/>
    <xf numFmtId="10" fontId="349" fillId="41" borderId="28" xfId="12" applyNumberFormat="1" applyFont="1" applyFill="1" applyBorder="1" applyAlignment="1"/>
    <xf numFmtId="173" fontId="349" fillId="41" borderId="30" xfId="12" applyNumberFormat="1" applyFont="1" applyFill="1" applyBorder="1" applyAlignment="1"/>
    <xf numFmtId="173" fontId="349" fillId="41" borderId="31" xfId="12" applyNumberFormat="1" applyFont="1" applyFill="1" applyBorder="1" applyAlignment="1"/>
    <xf numFmtId="170" fontId="349" fillId="0" borderId="30" xfId="12" applyNumberFormat="1" applyFont="1" applyFill="1" applyBorder="1" applyAlignment="1"/>
    <xf numFmtId="170" fontId="349" fillId="0" borderId="31" xfId="12" applyNumberFormat="1" applyFont="1" applyBorder="1" applyAlignment="1"/>
    <xf numFmtId="171" fontId="348" fillId="0" borderId="30" xfId="6" applyNumberFormat="1" applyFont="1" applyBorder="1" applyAlignment="1"/>
    <xf numFmtId="171" fontId="348" fillId="0" borderId="31" xfId="6" applyNumberFormat="1" applyFont="1" applyBorder="1" applyAlignment="1"/>
    <xf numFmtId="4" fontId="348" fillId="0" borderId="30" xfId="6" applyNumberFormat="1" applyFont="1" applyBorder="1" applyAlignment="1"/>
    <xf numFmtId="4" fontId="348" fillId="0" borderId="31" xfId="6" applyNumberFormat="1" applyFont="1" applyBorder="1" applyAlignment="1"/>
    <xf numFmtId="170" fontId="349" fillId="0" borderId="33" xfId="12" applyNumberFormat="1" applyFont="1" applyFill="1" applyBorder="1" applyAlignment="1"/>
    <xf numFmtId="170" fontId="349" fillId="0" borderId="34" xfId="12" applyNumberFormat="1" applyFont="1" applyBorder="1" applyAlignment="1"/>
    <xf numFmtId="170" fontId="46" fillId="0" borderId="0" xfId="13" applyNumberFormat="1" applyFont="1" applyFill="1" applyBorder="1" applyAlignment="1"/>
    <xf numFmtId="170" fontId="334" fillId="0" borderId="0" xfId="6" applyNumberFormat="1" applyFont="1" applyFill="1" applyBorder="1" applyAlignment="1"/>
    <xf numFmtId="0" fontId="334" fillId="0" borderId="0" xfId="6" applyFont="1" applyFill="1" applyBorder="1" applyAlignment="1">
      <alignment vertical="center"/>
    </xf>
    <xf numFmtId="3" fontId="334" fillId="41" borderId="27" xfId="6" applyNumberFormat="1" applyFont="1" applyFill="1" applyBorder="1" applyAlignment="1"/>
    <xf numFmtId="3" fontId="334" fillId="41" borderId="28" xfId="6" applyNumberFormat="1" applyFont="1" applyFill="1" applyBorder="1" applyAlignment="1"/>
    <xf numFmtId="3" fontId="334" fillId="41" borderId="30" xfId="6" applyNumberFormat="1" applyFont="1" applyFill="1" applyBorder="1" applyAlignment="1"/>
    <xf numFmtId="3" fontId="334" fillId="41" borderId="31" xfId="6" applyNumberFormat="1" applyFont="1" applyFill="1" applyBorder="1" applyAlignment="1"/>
    <xf numFmtId="0" fontId="334" fillId="40" borderId="0" xfId="6" applyFont="1" applyFill="1" applyBorder="1" applyAlignment="1">
      <alignment vertical="center"/>
    </xf>
    <xf numFmtId="10" fontId="334" fillId="0" borderId="0" xfId="12" applyNumberFormat="1" applyFont="1" applyFill="1" applyBorder="1" applyAlignment="1">
      <alignment horizontal="right" vertical="center"/>
    </xf>
    <xf numFmtId="171" fontId="334" fillId="0" borderId="0" xfId="6" applyNumberFormat="1" applyFont="1" applyFill="1" applyBorder="1" applyAlignment="1"/>
    <xf numFmtId="171" fontId="334" fillId="0" borderId="0" xfId="6" applyNumberFormat="1" applyFont="1" applyBorder="1" applyAlignment="1"/>
    <xf numFmtId="171" fontId="334" fillId="41" borderId="26" xfId="14" applyNumberFormat="1" applyFont="1" applyFill="1" applyBorder="1" applyAlignment="1"/>
    <xf numFmtId="171" fontId="334" fillId="41" borderId="28" xfId="14" applyNumberFormat="1" applyFont="1" applyFill="1" applyBorder="1" applyAlignment="1"/>
    <xf numFmtId="10" fontId="334" fillId="41" borderId="33" xfId="12" applyNumberFormat="1" applyFont="1" applyFill="1" applyBorder="1" applyAlignment="1">
      <alignment horizontal="right" vertical="center"/>
    </xf>
    <xf numFmtId="10" fontId="334" fillId="41" borderId="34" xfId="12" applyNumberFormat="1" applyFont="1" applyFill="1" applyBorder="1" applyAlignment="1">
      <alignment horizontal="right" vertical="center"/>
    </xf>
    <xf numFmtId="171" fontId="334" fillId="0" borderId="0" xfId="14" applyNumberFormat="1" applyFont="1" applyFill="1" applyBorder="1" applyAlignment="1"/>
    <xf numFmtId="3" fontId="334" fillId="0" borderId="27" xfId="6" applyNumberFormat="1" applyFont="1" applyFill="1" applyBorder="1" applyAlignment="1"/>
    <xf numFmtId="3" fontId="334" fillId="0" borderId="28" xfId="6" applyNumberFormat="1" applyFont="1" applyFill="1" applyBorder="1" applyAlignment="1"/>
    <xf numFmtId="170" fontId="334" fillId="0" borderId="0" xfId="12" applyNumberFormat="1" applyFont="1" applyFill="1" applyBorder="1" applyAlignment="1">
      <alignment vertical="center"/>
    </xf>
    <xf numFmtId="10" fontId="349" fillId="0" borderId="27" xfId="12" applyNumberFormat="1" applyFont="1" applyFill="1" applyBorder="1" applyAlignment="1"/>
    <xf numFmtId="10" fontId="349" fillId="0" borderId="28" xfId="12" applyNumberFormat="1" applyFont="1" applyFill="1" applyBorder="1" applyAlignment="1"/>
    <xf numFmtId="173" fontId="349" fillId="0" borderId="30" xfId="12" applyNumberFormat="1" applyFont="1" applyFill="1" applyBorder="1" applyAlignment="1"/>
    <xf numFmtId="173" fontId="349" fillId="0" borderId="31" xfId="12" applyNumberFormat="1" applyFont="1" applyFill="1" applyBorder="1" applyAlignment="1"/>
    <xf numFmtId="3" fontId="334" fillId="0" borderId="30" xfId="0" applyNumberFormat="1" applyFont="1" applyFill="1" applyBorder="1" applyAlignment="1"/>
    <xf numFmtId="3" fontId="342" fillId="0" borderId="27" xfId="6" applyNumberFormat="1" applyFont="1" applyFill="1" applyBorder="1" applyAlignment="1"/>
    <xf numFmtId="3" fontId="334" fillId="0" borderId="30" xfId="6" applyNumberFormat="1" applyFont="1" applyFill="1" applyBorder="1" applyAlignment="1"/>
    <xf numFmtId="3" fontId="334" fillId="0" borderId="31" xfId="6" applyNumberFormat="1" applyFont="1" applyFill="1" applyBorder="1" applyAlignment="1"/>
    <xf numFmtId="10" fontId="342" fillId="0" borderId="0" xfId="12" applyNumberFormat="1" applyFont="1" applyFill="1" applyBorder="1" applyAlignment="1">
      <alignment horizontal="right" vertical="center"/>
    </xf>
    <xf numFmtId="3" fontId="342" fillId="0" borderId="33" xfId="6" applyNumberFormat="1" applyFont="1" applyFill="1" applyBorder="1" applyAlignment="1"/>
    <xf numFmtId="3" fontId="342" fillId="0" borderId="34" xfId="6" applyNumberFormat="1" applyFont="1" applyFill="1" applyBorder="1" applyAlignment="1"/>
    <xf numFmtId="3" fontId="349" fillId="0" borderId="27" xfId="0" applyNumberFormat="1" applyFont="1" applyFill="1" applyBorder="1" applyAlignment="1"/>
    <xf numFmtId="3" fontId="349" fillId="0" borderId="28" xfId="0" applyNumberFormat="1" applyFont="1" applyFill="1" applyBorder="1" applyAlignment="1"/>
    <xf numFmtId="3" fontId="349" fillId="0" borderId="30" xfId="0" applyNumberFormat="1" applyFont="1" applyFill="1" applyBorder="1" applyAlignment="1"/>
    <xf numFmtId="3" fontId="349" fillId="0" borderId="31" xfId="0" applyNumberFormat="1" applyFont="1" applyFill="1" applyBorder="1" applyAlignment="1"/>
    <xf numFmtId="0" fontId="349" fillId="0" borderId="0" xfId="6" applyFont="1" applyBorder="1" applyAlignment="1">
      <alignment horizontal="left" indent="1"/>
    </xf>
    <xf numFmtId="10" fontId="349" fillId="41" borderId="27" xfId="12" applyNumberFormat="1" applyFont="1" applyFill="1" applyBorder="1" applyAlignment="1">
      <alignment horizontal="right" vertical="center"/>
    </xf>
    <xf numFmtId="10" fontId="349" fillId="41" borderId="30" xfId="12" applyNumberFormat="1" applyFont="1" applyFill="1" applyBorder="1" applyAlignment="1">
      <alignment horizontal="right" vertical="center"/>
    </xf>
    <xf numFmtId="10" fontId="349" fillId="41" borderId="31" xfId="12" applyNumberFormat="1" applyFont="1" applyFill="1" applyBorder="1" applyAlignment="1">
      <alignment horizontal="right" vertical="center"/>
    </xf>
    <xf numFmtId="10" fontId="349" fillId="41" borderId="33" xfId="12" applyNumberFormat="1" applyFont="1" applyFill="1" applyBorder="1" applyAlignment="1">
      <alignment horizontal="right" vertical="center"/>
    </xf>
    <xf numFmtId="10" fontId="349" fillId="41" borderId="34" xfId="12" applyNumberFormat="1" applyFont="1" applyFill="1" applyBorder="1" applyAlignment="1">
      <alignment horizontal="right" vertical="center"/>
    </xf>
    <xf numFmtId="3" fontId="349" fillId="0" borderId="20" xfId="14" applyNumberFormat="1" applyFont="1" applyFill="1" applyBorder="1" applyAlignment="1"/>
    <xf numFmtId="3" fontId="349" fillId="0" borderId="16" xfId="14" applyNumberFormat="1" applyFont="1" applyFill="1" applyBorder="1" applyAlignment="1"/>
    <xf numFmtId="3" fontId="349" fillId="0" borderId="0" xfId="12" applyNumberFormat="1" applyFont="1" applyFill="1" applyBorder="1" applyAlignment="1">
      <alignment horizontal="right" vertical="center"/>
    </xf>
    <xf numFmtId="3" fontId="349" fillId="0" borderId="0" xfId="6" applyNumberFormat="1" applyFont="1" applyBorder="1" applyAlignment="1"/>
    <xf numFmtId="3" fontId="349" fillId="0" borderId="39" xfId="6" applyNumberFormat="1" applyFont="1" applyFill="1" applyBorder="1" applyAlignment="1"/>
    <xf numFmtId="3" fontId="349" fillId="0" borderId="0" xfId="14" applyNumberFormat="1" applyFont="1" applyFill="1" applyBorder="1" applyAlignment="1"/>
    <xf numFmtId="3" fontId="349" fillId="0" borderId="0" xfId="6" applyNumberFormat="1" applyFont="1" applyFill="1" applyBorder="1" applyAlignment="1">
      <alignment vertical="center"/>
    </xf>
    <xf numFmtId="0" fontId="349" fillId="0" borderId="0" xfId="6" applyFont="1" applyFill="1" applyBorder="1" applyAlignment="1"/>
    <xf numFmtId="10" fontId="342" fillId="0" borderId="37" xfId="12" applyNumberFormat="1" applyFont="1" applyFill="1" applyBorder="1" applyAlignment="1"/>
    <xf numFmtId="10" fontId="342" fillId="0" borderId="28" xfId="12" applyNumberFormat="1" applyFont="1" applyFill="1" applyBorder="1" applyAlignment="1"/>
    <xf numFmtId="3" fontId="348" fillId="0" borderId="38" xfId="6" applyNumberFormat="1" applyFont="1" applyBorder="1" applyAlignment="1"/>
    <xf numFmtId="3" fontId="348" fillId="0" borderId="31" xfId="6" applyNumberFormat="1" applyFont="1" applyBorder="1" applyAlignment="1"/>
    <xf numFmtId="170" fontId="349" fillId="0" borderId="38" xfId="12" applyNumberFormat="1" applyFont="1" applyFill="1" applyBorder="1" applyAlignment="1"/>
    <xf numFmtId="170" fontId="349" fillId="0" borderId="31" xfId="12" applyNumberFormat="1" applyFont="1" applyFill="1" applyBorder="1" applyAlignment="1"/>
    <xf numFmtId="171" fontId="350" fillId="0" borderId="38" xfId="6" applyNumberFormat="1" applyFont="1" applyFill="1" applyBorder="1" applyAlignment="1"/>
    <xf numFmtId="171" fontId="350" fillId="0" borderId="31" xfId="6" applyNumberFormat="1" applyFont="1" applyFill="1" applyBorder="1" applyAlignment="1"/>
    <xf numFmtId="4" fontId="348" fillId="0" borderId="38" xfId="6" applyNumberFormat="1" applyFont="1" applyFill="1" applyBorder="1" applyAlignment="1"/>
    <xf numFmtId="4" fontId="348" fillId="0" borderId="31" xfId="6" applyNumberFormat="1" applyFont="1" applyFill="1" applyBorder="1" applyAlignment="1"/>
    <xf numFmtId="170" fontId="349" fillId="0" borderId="39" xfId="12" applyNumberFormat="1" applyFont="1" applyFill="1" applyBorder="1" applyAlignment="1"/>
    <xf numFmtId="170" fontId="349" fillId="0" borderId="34" xfId="12" applyNumberFormat="1" applyFont="1" applyFill="1" applyBorder="1" applyAlignment="1"/>
    <xf numFmtId="0" fontId="317" fillId="0" borderId="0" xfId="5" applyFont="1" applyFill="1" applyBorder="1"/>
    <xf numFmtId="171" fontId="49" fillId="41" borderId="16" xfId="5" applyNumberFormat="1" applyFont="1" applyFill="1" applyBorder="1"/>
    <xf numFmtId="4" fontId="49" fillId="0" borderId="19" xfId="14654" applyNumberFormat="1" applyFont="1" applyFill="1" applyBorder="1"/>
    <xf numFmtId="0" fontId="49" fillId="0" borderId="11" xfId="5" applyFont="1" applyFill="1" applyBorder="1"/>
    <xf numFmtId="0" fontId="49" fillId="0" borderId="13" xfId="5" applyFont="1" applyFill="1" applyBorder="1"/>
    <xf numFmtId="0" fontId="309" fillId="0" borderId="22" xfId="5" applyFont="1" applyBorder="1"/>
    <xf numFmtId="0" fontId="0" fillId="0" borderId="0" xfId="0" applyBorder="1"/>
    <xf numFmtId="0" fontId="351" fillId="0" borderId="0" xfId="0" applyFont="1" applyBorder="1"/>
    <xf numFmtId="0" fontId="352" fillId="0" borderId="0" xfId="1771" applyFont="1" applyFill="1" applyBorder="1" applyAlignment="1" applyProtection="1">
      <alignment vertical="center"/>
      <protection locked="0"/>
    </xf>
    <xf numFmtId="0" fontId="0" fillId="0" borderId="0" xfId="0" applyFill="1" applyBorder="1" applyAlignment="1"/>
    <xf numFmtId="0" fontId="0" fillId="0" borderId="0" xfId="0" applyFill="1" applyBorder="1"/>
    <xf numFmtId="0" fontId="353" fillId="0" borderId="0" xfId="14668" applyFont="1" applyFill="1" applyBorder="1" applyAlignment="1" applyProtection="1">
      <protection locked="0"/>
    </xf>
    <xf numFmtId="0" fontId="0" fillId="0" borderId="109" xfId="0" applyFill="1" applyBorder="1"/>
    <xf numFmtId="0" fontId="0" fillId="0" borderId="102" xfId="0" applyFont="1" applyBorder="1"/>
    <xf numFmtId="0" fontId="0" fillId="0" borderId="103" xfId="0" applyBorder="1"/>
    <xf numFmtId="0" fontId="0" fillId="0" borderId="104" xfId="0" applyFill="1" applyBorder="1"/>
    <xf numFmtId="0" fontId="16" fillId="0" borderId="0" xfId="0" applyFont="1" applyBorder="1"/>
    <xf numFmtId="0" fontId="0" fillId="0" borderId="0" xfId="0" applyFont="1" applyBorder="1"/>
    <xf numFmtId="3" fontId="0" fillId="0" borderId="0" xfId="0" applyNumberFormat="1" applyFont="1" applyBorder="1"/>
    <xf numFmtId="0" fontId="0" fillId="0" borderId="105" xfId="0" applyBorder="1"/>
    <xf numFmtId="0" fontId="16" fillId="52" borderId="116" xfId="0" applyFont="1" applyFill="1" applyBorder="1" applyAlignment="1" applyProtection="1">
      <alignment horizontal="center" vertical="center" wrapText="1"/>
    </xf>
    <xf numFmtId="0" fontId="16" fillId="52" borderId="117" xfId="0" applyFont="1" applyFill="1" applyBorder="1" applyAlignment="1" applyProtection="1">
      <alignment horizontal="center" vertical="center"/>
    </xf>
    <xf numFmtId="0" fontId="16" fillId="52" borderId="118" xfId="0" applyFont="1" applyFill="1" applyBorder="1" applyAlignment="1" applyProtection="1">
      <alignment horizontal="centerContinuous" vertical="center"/>
    </xf>
    <xf numFmtId="0" fontId="48" fillId="0" borderId="119" xfId="0" applyFont="1" applyBorder="1" applyAlignment="1" applyProtection="1">
      <alignment horizontal="center" vertical="center"/>
    </xf>
    <xf numFmtId="0" fontId="16" fillId="52" borderId="120" xfId="0" applyFont="1" applyFill="1" applyBorder="1" applyAlignment="1" applyProtection="1">
      <alignment horizontal="center" vertical="center"/>
    </xf>
    <xf numFmtId="3" fontId="16" fillId="52" borderId="119" xfId="0" applyNumberFormat="1" applyFont="1" applyFill="1" applyBorder="1" applyAlignment="1" applyProtection="1">
      <alignment horizontal="center" vertical="center"/>
    </xf>
    <xf numFmtId="0" fontId="16" fillId="52" borderId="121" xfId="0" applyFont="1" applyFill="1" applyBorder="1" applyAlignment="1" applyProtection="1">
      <alignment horizontal="center" vertical="center" wrapText="1"/>
    </xf>
    <xf numFmtId="0" fontId="0" fillId="52" borderId="116" xfId="0" applyFont="1" applyFill="1" applyBorder="1" applyAlignment="1" applyProtection="1">
      <alignment horizontal="left" vertical="center"/>
    </xf>
    <xf numFmtId="3" fontId="335" fillId="0" borderId="106" xfId="0" applyNumberFormat="1" applyFont="1" applyFill="1" applyBorder="1" applyAlignment="1" applyProtection="1">
      <alignment horizontal="center" vertical="center"/>
    </xf>
    <xf numFmtId="3" fontId="308" fillId="0" borderId="106" xfId="0" applyNumberFormat="1" applyFont="1" applyFill="1" applyBorder="1" applyAlignment="1" applyProtection="1">
      <alignment horizontal="center" vertical="center"/>
    </xf>
    <xf numFmtId="170" fontId="308" fillId="0" borderId="122" xfId="0" applyNumberFormat="1" applyFont="1" applyFill="1" applyBorder="1" applyAlignment="1" applyProtection="1">
      <alignment horizontal="center" vertical="center"/>
    </xf>
    <xf numFmtId="0" fontId="16" fillId="52" borderId="116" xfId="0" applyFont="1" applyFill="1" applyBorder="1" applyAlignment="1" applyProtection="1">
      <alignment horizontal="left" vertical="center" wrapText="1"/>
    </xf>
    <xf numFmtId="0" fontId="0" fillId="52" borderId="117" xfId="0" applyFont="1" applyFill="1" applyBorder="1" applyAlignment="1" applyProtection="1">
      <alignment horizontal="left" vertical="center"/>
    </xf>
    <xf numFmtId="0" fontId="214" fillId="141" borderId="123" xfId="0" applyFont="1" applyFill="1" applyBorder="1" applyAlignment="1" applyProtection="1">
      <alignment horizontal="right" vertical="center" wrapText="1"/>
    </xf>
    <xf numFmtId="0" fontId="355" fillId="0" borderId="119" xfId="0" applyFont="1" applyBorder="1" applyAlignment="1" applyProtection="1">
      <alignment horizontal="center" vertical="center"/>
    </xf>
    <xf numFmtId="0" fontId="16" fillId="52" borderId="116" xfId="0" applyFont="1" applyFill="1" applyBorder="1" applyAlignment="1" applyProtection="1">
      <alignment horizontal="left" vertical="center"/>
    </xf>
    <xf numFmtId="4" fontId="308" fillId="0" borderId="106" xfId="0" applyNumberFormat="1" applyFont="1" applyFill="1" applyBorder="1" applyAlignment="1" applyProtection="1">
      <alignment horizontal="center" vertical="center"/>
    </xf>
    <xf numFmtId="4" fontId="308" fillId="0" borderId="106" xfId="0" applyNumberFormat="1" applyFont="1" applyFill="1" applyBorder="1" applyAlignment="1" applyProtection="1">
      <alignment horizontal="right" vertical="center"/>
    </xf>
    <xf numFmtId="0" fontId="356" fillId="0" borderId="118" xfId="0" applyFont="1" applyBorder="1" applyAlignment="1" applyProtection="1">
      <alignment wrapText="1"/>
    </xf>
    <xf numFmtId="0" fontId="37" fillId="0" borderId="0" xfId="0" applyFont="1" applyBorder="1" applyAlignment="1" applyProtection="1">
      <alignment horizontal="right" wrapText="1"/>
    </xf>
    <xf numFmtId="0" fontId="0" fillId="0" borderId="118" xfId="0" applyFont="1" applyBorder="1" applyProtection="1"/>
    <xf numFmtId="0" fontId="0" fillId="0" borderId="0" xfId="0" applyFont="1" applyBorder="1" applyProtection="1"/>
    <xf numFmtId="0" fontId="357" fillId="52" borderId="124" xfId="0" applyFont="1" applyFill="1" applyBorder="1" applyAlignment="1" applyProtection="1">
      <alignment horizontal="left" vertical="center"/>
    </xf>
    <xf numFmtId="174" fontId="358" fillId="40" borderId="116" xfId="0" applyNumberFormat="1" applyFont="1" applyFill="1" applyBorder="1" applyAlignment="1" applyProtection="1">
      <alignment horizontal="center" vertical="center"/>
    </xf>
    <xf numFmtId="0" fontId="0" fillId="0" borderId="119" xfId="0" applyFont="1" applyBorder="1" applyProtection="1"/>
    <xf numFmtId="0" fontId="0" fillId="52" borderId="124" xfId="0" applyFont="1" applyFill="1" applyBorder="1" applyAlignment="1" applyProtection="1">
      <alignment horizontal="left" vertical="center"/>
    </xf>
    <xf numFmtId="0" fontId="0" fillId="0" borderId="118" xfId="0" applyFont="1" applyBorder="1"/>
    <xf numFmtId="0" fontId="16" fillId="52" borderId="26" xfId="0" applyFont="1" applyFill="1" applyBorder="1" applyAlignment="1" applyProtection="1">
      <alignment horizontal="center" vertical="center" wrapText="1"/>
    </xf>
    <xf numFmtId="0" fontId="16" fillId="52" borderId="125" xfId="0" applyFont="1" applyFill="1" applyBorder="1" applyAlignment="1" applyProtection="1">
      <alignment horizontal="center" vertical="center"/>
    </xf>
    <xf numFmtId="0" fontId="16" fillId="52" borderId="126" xfId="0" applyFont="1" applyFill="1" applyBorder="1" applyAlignment="1" applyProtection="1">
      <alignment horizontal="center" vertical="center" wrapText="1"/>
    </xf>
    <xf numFmtId="3" fontId="16" fillId="52" borderId="127" xfId="0" applyNumberFormat="1" applyFont="1" applyFill="1" applyBorder="1" applyAlignment="1" applyProtection="1">
      <alignment horizontal="center" vertical="center"/>
    </xf>
    <xf numFmtId="0" fontId="16" fillId="52" borderId="124" xfId="0" applyFont="1" applyFill="1" applyBorder="1" applyAlignment="1" applyProtection="1">
      <alignment horizontal="center" vertical="center" wrapText="1"/>
    </xf>
    <xf numFmtId="0" fontId="16" fillId="52" borderId="117" xfId="0" applyFont="1" applyFill="1" applyBorder="1" applyAlignment="1" applyProtection="1">
      <alignment horizontal="center" vertical="center" wrapText="1"/>
    </xf>
    <xf numFmtId="0" fontId="16" fillId="52" borderId="128" xfId="0" applyFont="1" applyFill="1" applyBorder="1" applyAlignment="1" applyProtection="1">
      <alignment horizontal="center" vertical="center" wrapText="1"/>
    </xf>
    <xf numFmtId="0" fontId="0" fillId="52" borderId="129" xfId="0" applyFont="1" applyFill="1" applyBorder="1" applyAlignment="1" applyProtection="1">
      <alignment horizontal="left" vertical="center"/>
    </xf>
    <xf numFmtId="3" fontId="308" fillId="0" borderId="130" xfId="0" applyNumberFormat="1" applyFont="1" applyFill="1" applyBorder="1" applyAlignment="1" applyProtection="1">
      <alignment horizontal="right" vertical="center"/>
    </xf>
    <xf numFmtId="0" fontId="16" fillId="52" borderId="129" xfId="0" applyFont="1" applyFill="1" applyBorder="1" applyAlignment="1" applyProtection="1">
      <alignment horizontal="left" vertical="center" wrapText="1"/>
    </xf>
    <xf numFmtId="0" fontId="0" fillId="52" borderId="131" xfId="0" applyFont="1" applyFill="1" applyBorder="1" applyAlignment="1" applyProtection="1">
      <alignment horizontal="left" vertical="center"/>
    </xf>
    <xf numFmtId="0" fontId="0" fillId="52" borderId="132" xfId="0" applyFont="1" applyFill="1" applyBorder="1" applyAlignment="1" applyProtection="1">
      <alignment horizontal="left" vertical="center"/>
    </xf>
    <xf numFmtId="3" fontId="336" fillId="0" borderId="133" xfId="0" applyNumberFormat="1" applyFont="1" applyFill="1" applyBorder="1" applyAlignment="1" applyProtection="1">
      <alignment horizontal="center" vertical="center"/>
    </xf>
    <xf numFmtId="3" fontId="308" fillId="0" borderId="133" xfId="0" applyNumberFormat="1" applyFont="1" applyFill="1" applyBorder="1" applyAlignment="1" applyProtection="1">
      <alignment horizontal="right" vertical="center"/>
    </xf>
    <xf numFmtId="3" fontId="308" fillId="0" borderId="134" xfId="0" applyNumberFormat="1" applyFont="1" applyFill="1" applyBorder="1" applyAlignment="1" applyProtection="1">
      <alignment horizontal="right" vertical="center"/>
    </xf>
    <xf numFmtId="0" fontId="0" fillId="0" borderId="108" xfId="0" applyFill="1" applyBorder="1"/>
    <xf numFmtId="0" fontId="0" fillId="0" borderId="51" xfId="0" applyBorder="1"/>
    <xf numFmtId="0" fontId="0" fillId="0" borderId="51" xfId="0" applyFont="1" applyBorder="1"/>
    <xf numFmtId="0" fontId="0" fillId="0" borderId="87" xfId="0" applyBorder="1"/>
    <xf numFmtId="10" fontId="342" fillId="0" borderId="27" xfId="12" applyNumberFormat="1" applyFont="1" applyFill="1" applyBorder="1" applyAlignment="1"/>
    <xf numFmtId="3" fontId="348" fillId="0" borderId="30" xfId="6" applyNumberFormat="1" applyFont="1" applyBorder="1" applyAlignment="1"/>
    <xf numFmtId="171" fontId="350" fillId="0" borderId="30" xfId="6" applyNumberFormat="1" applyFont="1" applyFill="1" applyBorder="1" applyAlignment="1"/>
    <xf numFmtId="4" fontId="348" fillId="0" borderId="30" xfId="6" applyNumberFormat="1" applyFont="1" applyFill="1" applyBorder="1" applyAlignment="1"/>
    <xf numFmtId="171" fontId="309" fillId="41" borderId="16" xfId="5" applyNumberFormat="1" applyFont="1" applyFill="1" applyBorder="1" applyAlignment="1">
      <alignment horizontal="center"/>
    </xf>
    <xf numFmtId="262" fontId="309" fillId="50" borderId="28" xfId="14654" applyNumberFormat="1" applyFont="1" applyFill="1" applyBorder="1" applyAlignment="1">
      <alignment horizontal="center"/>
    </xf>
    <xf numFmtId="43" fontId="313" fillId="0" borderId="0" xfId="3732" applyFont="1" applyFill="1" applyBorder="1"/>
    <xf numFmtId="0" fontId="49" fillId="0" borderId="20" xfId="5" applyFont="1" applyFill="1" applyBorder="1" applyAlignment="1">
      <alignment horizontal="left"/>
    </xf>
    <xf numFmtId="0" fontId="49" fillId="0" borderId="19" xfId="5" applyFont="1" applyFill="1" applyBorder="1" applyAlignment="1">
      <alignment horizontal="left"/>
    </xf>
    <xf numFmtId="0" fontId="44" fillId="43" borderId="10" xfId="6467" applyFont="1" applyFill="1" applyBorder="1" applyAlignment="1">
      <alignment vertical="center"/>
    </xf>
    <xf numFmtId="0" fontId="21" fillId="43" borderId="0" xfId="6467" applyFont="1" applyFill="1" applyAlignment="1">
      <alignment vertical="center"/>
    </xf>
    <xf numFmtId="0" fontId="309" fillId="0" borderId="0" xfId="5" applyFont="1" applyFill="1"/>
    <xf numFmtId="0" fontId="39" fillId="0" borderId="0" xfId="15" applyFont="1" applyFill="1"/>
    <xf numFmtId="10" fontId="39" fillId="0" borderId="29" xfId="12" applyNumberFormat="1" applyFont="1" applyFill="1" applyBorder="1" applyAlignment="1"/>
    <xf numFmtId="173" fontId="39" fillId="0" borderId="32" xfId="12" applyNumberFormat="1" applyFont="1" applyFill="1" applyBorder="1" applyAlignment="1"/>
    <xf numFmtId="170" fontId="39" fillId="0" borderId="32" xfId="12" applyNumberFormat="1" applyFont="1" applyBorder="1" applyAlignment="1"/>
    <xf numFmtId="171" fontId="38" fillId="0" borderId="32" xfId="6" applyNumberFormat="1" applyFont="1" applyFill="1" applyBorder="1" applyAlignment="1"/>
    <xf numFmtId="0" fontId="333" fillId="0" borderId="15" xfId="0" applyFont="1" applyFill="1" applyBorder="1" applyAlignment="1">
      <alignment horizontal="center" wrapText="1"/>
    </xf>
    <xf numFmtId="3" fontId="339" fillId="41" borderId="34" xfId="6" applyNumberFormat="1" applyFont="1" applyFill="1" applyBorder="1" applyAlignment="1"/>
    <xf numFmtId="3" fontId="342" fillId="0" borderId="20" xfId="14" applyNumberFormat="1" applyFont="1" applyFill="1" applyBorder="1" applyAlignment="1"/>
    <xf numFmtId="3" fontId="342" fillId="0" borderId="16" xfId="14" applyNumberFormat="1" applyFont="1" applyFill="1" applyBorder="1" applyAlignment="1"/>
    <xf numFmtId="3" fontId="327" fillId="0" borderId="16" xfId="14" applyNumberFormat="1" applyFont="1" applyFill="1" applyBorder="1" applyAlignment="1"/>
    <xf numFmtId="3" fontId="327" fillId="0" borderId="17" xfId="14" applyNumberFormat="1" applyFont="1" applyFill="1" applyBorder="1" applyAlignment="1"/>
    <xf numFmtId="3" fontId="326" fillId="0" borderId="16" xfId="14" applyNumberFormat="1" applyFont="1" applyFill="1" applyBorder="1" applyAlignment="1"/>
    <xf numFmtId="3" fontId="334" fillId="0" borderId="33" xfId="6" applyNumberFormat="1" applyFont="1" applyFill="1" applyBorder="1" applyAlignment="1"/>
    <xf numFmtId="3" fontId="334" fillId="0" borderId="34" xfId="6" applyNumberFormat="1" applyFont="1" applyFill="1" applyBorder="1" applyAlignment="1"/>
    <xf numFmtId="3" fontId="326" fillId="0" borderId="34" xfId="6" applyNumberFormat="1" applyFont="1" applyFill="1" applyBorder="1" applyAlignment="1"/>
    <xf numFmtId="3" fontId="326" fillId="0" borderId="35" xfId="6" applyNumberFormat="1" applyFont="1" applyFill="1" applyBorder="1" applyAlignment="1"/>
    <xf numFmtId="0" fontId="39" fillId="0" borderId="135" xfId="14655" applyFont="1" applyBorder="1" applyAlignment="1">
      <alignment horizontal="left" indent="1"/>
    </xf>
    <xf numFmtId="0" fontId="39" fillId="0" borderId="24" xfId="15" applyFont="1" applyFill="1" applyBorder="1" applyAlignment="1">
      <alignment horizontal="left"/>
    </xf>
    <xf numFmtId="0" fontId="39" fillId="0" borderId="136" xfId="15" applyFont="1" applyFill="1" applyBorder="1" applyAlignment="1">
      <alignment horizontal="left"/>
    </xf>
    <xf numFmtId="0" fontId="44" fillId="0" borderId="0" xfId="15" applyFont="1" applyFill="1" applyBorder="1"/>
    <xf numFmtId="171" fontId="309" fillId="41" borderId="16" xfId="5" applyNumberFormat="1" applyFont="1" applyFill="1" applyBorder="1"/>
    <xf numFmtId="171" fontId="309" fillId="41" borderId="17" xfId="5" applyNumberFormat="1" applyFont="1" applyFill="1" applyBorder="1"/>
    <xf numFmtId="3" fontId="39" fillId="41" borderId="32" xfId="0" applyNumberFormat="1" applyFont="1" applyFill="1" applyBorder="1" applyAlignment="1"/>
    <xf numFmtId="171" fontId="49" fillId="0" borderId="17" xfId="5" applyNumberFormat="1" applyFont="1" applyBorder="1"/>
    <xf numFmtId="171" fontId="309" fillId="0" borderId="29" xfId="5" applyNumberFormat="1" applyFont="1" applyBorder="1"/>
    <xf numFmtId="171" fontId="309" fillId="0" borderId="32" xfId="5" applyNumberFormat="1" applyFont="1" applyBorder="1"/>
    <xf numFmtId="171" fontId="309" fillId="0" borderId="27" xfId="5" applyNumberFormat="1" applyFont="1" applyBorder="1"/>
    <xf numFmtId="171" fontId="309" fillId="0" borderId="30" xfId="5" applyNumberFormat="1" applyFont="1" applyFill="1" applyBorder="1"/>
    <xf numFmtId="171" fontId="49" fillId="52" borderId="17" xfId="5" applyNumberFormat="1" applyFont="1" applyFill="1" applyBorder="1"/>
    <xf numFmtId="171" fontId="49" fillId="0" borderId="15" xfId="5" applyNumberFormat="1" applyFont="1" applyFill="1" applyBorder="1"/>
    <xf numFmtId="3" fontId="39" fillId="41" borderId="29" xfId="6" applyNumberFormat="1" applyFont="1" applyFill="1" applyBorder="1" applyAlignment="1"/>
    <xf numFmtId="171" fontId="313" fillId="0" borderId="28" xfId="5" applyNumberFormat="1" applyFont="1" applyBorder="1"/>
    <xf numFmtId="171" fontId="313" fillId="0" borderId="31" xfId="5" applyNumberFormat="1" applyFont="1" applyBorder="1"/>
    <xf numFmtId="0" fontId="39" fillId="0" borderId="25" xfId="6" applyFont="1" applyFill="1" applyBorder="1" applyAlignment="1"/>
    <xf numFmtId="0" fontId="39" fillId="0" borderId="0" xfId="14" applyFont="1" applyFill="1" applyBorder="1" applyAlignment="1"/>
    <xf numFmtId="0" fontId="38" fillId="0" borderId="25" xfId="6" applyFont="1" applyFill="1" applyBorder="1" applyAlignment="1"/>
    <xf numFmtId="0" fontId="38" fillId="40" borderId="0" xfId="6" applyFont="1" applyFill="1" applyBorder="1" applyAlignment="1"/>
    <xf numFmtId="0" fontId="39" fillId="40" borderId="0" xfId="6" applyFont="1" applyFill="1" applyBorder="1" applyAlignment="1"/>
    <xf numFmtId="0" fontId="39" fillId="40" borderId="0" xfId="5" applyFont="1" applyFill="1" applyBorder="1" applyAlignment="1"/>
    <xf numFmtId="0" fontId="39" fillId="40" borderId="0" xfId="5" applyFont="1" applyFill="1" applyBorder="1" applyAlignment="1">
      <alignment vertical="center"/>
    </xf>
    <xf numFmtId="0" fontId="40" fillId="40" borderId="0" xfId="5" applyFont="1" applyFill="1" applyBorder="1" applyAlignment="1">
      <alignment vertical="center"/>
    </xf>
    <xf numFmtId="0" fontId="39" fillId="40" borderId="0" xfId="5" applyFont="1" applyFill="1" applyBorder="1"/>
    <xf numFmtId="0" fontId="38" fillId="142" borderId="0" xfId="0" applyFont="1" applyFill="1" applyBorder="1" applyAlignment="1">
      <alignment horizontal="center" wrapText="1"/>
    </xf>
    <xf numFmtId="0" fontId="38" fillId="40" borderId="0" xfId="6" applyFont="1" applyFill="1" applyBorder="1" applyAlignment="1">
      <alignment vertical="center"/>
    </xf>
    <xf numFmtId="3" fontId="39" fillId="40" borderId="0" xfId="0" applyNumberFormat="1" applyFont="1" applyFill="1" applyBorder="1" applyAlignment="1"/>
    <xf numFmtId="3" fontId="39" fillId="40" borderId="0" xfId="6" applyNumberFormat="1" applyFont="1" applyFill="1" applyBorder="1" applyAlignment="1"/>
    <xf numFmtId="3" fontId="38" fillId="40" borderId="0" xfId="6" applyNumberFormat="1" applyFont="1" applyFill="1" applyBorder="1" applyAlignment="1"/>
    <xf numFmtId="170" fontId="39" fillId="40" borderId="0" xfId="6" applyNumberFormat="1" applyFont="1" applyFill="1" applyBorder="1" applyAlignment="1"/>
    <xf numFmtId="0" fontId="39" fillId="40" borderId="0" xfId="6" applyFont="1" applyFill="1" applyBorder="1" applyAlignment="1">
      <alignment horizontal="left" indent="1"/>
    </xf>
    <xf numFmtId="10" fontId="39" fillId="40" borderId="0" xfId="12" applyNumberFormat="1" applyFont="1" applyFill="1" applyBorder="1" applyAlignment="1">
      <alignment horizontal="right" vertical="center"/>
    </xf>
    <xf numFmtId="171" fontId="39" fillId="40" borderId="0" xfId="14" applyNumberFormat="1" applyFont="1" applyFill="1" applyBorder="1" applyAlignment="1"/>
    <xf numFmtId="3" fontId="39" fillId="40" borderId="0" xfId="14" applyNumberFormat="1" applyFont="1" applyFill="1" applyBorder="1" applyAlignment="1"/>
    <xf numFmtId="0" fontId="42" fillId="40" borderId="0" xfId="6" applyFont="1" applyFill="1" applyBorder="1" applyAlignment="1"/>
    <xf numFmtId="10" fontId="39" fillId="40" borderId="0" xfId="12" applyNumberFormat="1" applyFont="1" applyFill="1" applyBorder="1" applyAlignment="1"/>
    <xf numFmtId="173" fontId="39" fillId="40" borderId="0" xfId="12" applyNumberFormat="1" applyFont="1" applyFill="1" applyBorder="1" applyAlignment="1"/>
    <xf numFmtId="170" fontId="39" fillId="40" borderId="0" xfId="12" applyNumberFormat="1" applyFont="1" applyFill="1" applyBorder="1" applyAlignment="1"/>
    <xf numFmtId="171" fontId="38" fillId="40" borderId="0" xfId="6" applyNumberFormat="1" applyFont="1" applyFill="1" applyBorder="1" applyAlignment="1"/>
    <xf numFmtId="4" fontId="38" fillId="40" borderId="0" xfId="6" applyNumberFormat="1" applyFont="1" applyFill="1" applyBorder="1" applyAlignment="1"/>
    <xf numFmtId="0" fontId="38" fillId="40" borderId="0" xfId="5" applyFont="1" applyFill="1" applyBorder="1" applyAlignment="1">
      <alignment vertical="center"/>
    </xf>
    <xf numFmtId="0" fontId="42" fillId="40" borderId="0" xfId="6" applyFont="1" applyFill="1" applyBorder="1" applyAlignment="1">
      <alignment vertical="top"/>
    </xf>
    <xf numFmtId="0" fontId="39" fillId="40" borderId="0" xfId="6" applyFont="1" applyFill="1" applyBorder="1" applyAlignment="1">
      <alignment vertical="top"/>
    </xf>
    <xf numFmtId="0" fontId="39" fillId="40" borderId="0" xfId="14" applyFont="1" applyFill="1" applyBorder="1" applyAlignment="1">
      <alignment vertical="top"/>
    </xf>
    <xf numFmtId="0" fontId="46" fillId="40" borderId="0" xfId="6" applyFont="1" applyFill="1" applyBorder="1" applyAlignment="1"/>
    <xf numFmtId="3" fontId="38" fillId="40" borderId="0" xfId="0" applyNumberFormat="1" applyFont="1" applyFill="1" applyBorder="1" applyAlignment="1"/>
    <xf numFmtId="165" fontId="39" fillId="40" borderId="0" xfId="14654" applyFont="1" applyFill="1" applyBorder="1" applyAlignment="1"/>
    <xf numFmtId="170" fontId="39" fillId="40" borderId="0" xfId="13" applyNumberFormat="1" applyFont="1" applyFill="1" applyBorder="1" applyAlignment="1"/>
    <xf numFmtId="3" fontId="42" fillId="40" borderId="0" xfId="6" applyNumberFormat="1" applyFont="1" applyFill="1" applyBorder="1" applyAlignment="1"/>
    <xf numFmtId="3" fontId="38" fillId="40" borderId="0" xfId="6" applyNumberFormat="1" applyFont="1" applyFill="1" applyBorder="1" applyAlignment="1">
      <alignment vertical="center"/>
    </xf>
    <xf numFmtId="10" fontId="39" fillId="41" borderId="27" xfId="12" applyNumberFormat="1" applyFont="1" applyFill="1" applyBorder="1" applyAlignment="1">
      <alignment horizontal="right" vertical="center"/>
    </xf>
    <xf numFmtId="10" fontId="39" fillId="0" borderId="27" xfId="12" applyNumberFormat="1" applyFont="1" applyFill="1" applyBorder="1" applyAlignment="1">
      <alignment horizontal="right" vertical="center"/>
    </xf>
    <xf numFmtId="10" fontId="39" fillId="0" borderId="32" xfId="12" applyNumberFormat="1" applyFont="1" applyFill="1" applyBorder="1" applyAlignment="1">
      <alignment horizontal="right" vertical="center"/>
    </xf>
    <xf numFmtId="10" fontId="39" fillId="0" borderId="35" xfId="12" applyNumberFormat="1" applyFont="1" applyFill="1" applyBorder="1" applyAlignment="1">
      <alignment horizontal="right" vertical="center"/>
    </xf>
    <xf numFmtId="10" fontId="39" fillId="0" borderId="29" xfId="12" applyNumberFormat="1" applyFont="1" applyFill="1" applyBorder="1" applyAlignment="1">
      <alignment horizontal="right" vertical="center"/>
    </xf>
    <xf numFmtId="3" fontId="39" fillId="0" borderId="15" xfId="14" applyNumberFormat="1" applyFont="1" applyFill="1" applyBorder="1" applyAlignment="1"/>
    <xf numFmtId="3" fontId="39" fillId="0" borderId="17" xfId="14" applyNumberFormat="1" applyFont="1" applyFill="1" applyBorder="1" applyAlignment="1"/>
    <xf numFmtId="171" fontId="39" fillId="41" borderId="27" xfId="14" applyNumberFormat="1" applyFont="1" applyFill="1" applyBorder="1" applyAlignment="1"/>
    <xf numFmtId="170" fontId="39" fillId="0" borderId="30" xfId="12" applyNumberFormat="1" applyFont="1" applyBorder="1" applyAlignment="1"/>
    <xf numFmtId="170" fontId="39" fillId="0" borderId="33" xfId="12" applyNumberFormat="1" applyFont="1" applyBorder="1" applyAlignment="1"/>
    <xf numFmtId="0" fontId="41" fillId="0" borderId="0" xfId="5" applyFont="1" applyBorder="1" applyAlignment="1">
      <alignment vertical="center"/>
    </xf>
    <xf numFmtId="3" fontId="39" fillId="41" borderId="27" xfId="14" applyNumberFormat="1" applyFont="1" applyFill="1" applyBorder="1" applyAlignment="1"/>
    <xf numFmtId="3" fontId="39" fillId="41" borderId="28" xfId="14" applyNumberFormat="1" applyFont="1" applyFill="1" applyBorder="1" applyAlignment="1"/>
    <xf numFmtId="3" fontId="39" fillId="41" borderId="33" xfId="6" applyNumberFormat="1" applyFont="1" applyFill="1" applyBorder="1" applyAlignment="1"/>
    <xf numFmtId="3" fontId="39" fillId="41" borderId="34" xfId="6" applyNumberFormat="1" applyFont="1" applyFill="1" applyBorder="1" applyAlignment="1"/>
    <xf numFmtId="3" fontId="339" fillId="41" borderId="35" xfId="6" applyNumberFormat="1" applyFont="1" applyFill="1" applyBorder="1" applyAlignment="1"/>
    <xf numFmtId="3" fontId="342" fillId="41" borderId="26" xfId="14" applyNumberFormat="1" applyFont="1" applyFill="1" applyBorder="1" applyAlignment="1"/>
    <xf numFmtId="3" fontId="342" fillId="41" borderId="28" xfId="14" applyNumberFormat="1" applyFont="1" applyFill="1" applyBorder="1" applyAlignment="1"/>
    <xf numFmtId="3" fontId="327" fillId="41" borderId="28" xfId="14" applyNumberFormat="1" applyFont="1" applyFill="1" applyBorder="1" applyAlignment="1"/>
    <xf numFmtId="3" fontId="327" fillId="41" borderId="29" xfId="14" applyNumberFormat="1" applyFont="1" applyFill="1" applyBorder="1" applyAlignment="1"/>
    <xf numFmtId="3" fontId="349" fillId="41" borderId="33" xfId="6" applyNumberFormat="1" applyFont="1" applyFill="1" applyBorder="1" applyAlignment="1"/>
    <xf numFmtId="3" fontId="349" fillId="41" borderId="34" xfId="6" applyNumberFormat="1" applyFont="1" applyFill="1" applyBorder="1" applyAlignment="1"/>
    <xf numFmtId="171" fontId="329" fillId="41" borderId="31" xfId="6" applyNumberFormat="1" applyFont="1" applyFill="1" applyBorder="1" applyAlignment="1"/>
    <xf numFmtId="171" fontId="39" fillId="41" borderId="34" xfId="6" applyNumberFormat="1" applyFont="1" applyFill="1" applyBorder="1" applyAlignment="1"/>
    <xf numFmtId="171" fontId="339" fillId="41" borderId="29" xfId="14" applyNumberFormat="1" applyFont="1" applyFill="1" applyBorder="1" applyAlignment="1"/>
    <xf numFmtId="171" fontId="349" fillId="41" borderId="26" xfId="14" applyNumberFormat="1" applyFont="1" applyFill="1" applyBorder="1" applyAlignment="1"/>
    <xf numFmtId="171" fontId="349" fillId="41" borderId="28" xfId="14" applyNumberFormat="1" applyFont="1" applyFill="1" applyBorder="1" applyAlignment="1"/>
    <xf numFmtId="171" fontId="339" fillId="41" borderId="28" xfId="14" applyNumberFormat="1" applyFont="1" applyFill="1" applyBorder="1" applyAlignment="1"/>
    <xf numFmtId="10" fontId="39" fillId="41" borderId="35" xfId="12" applyNumberFormat="1" applyFont="1" applyFill="1" applyBorder="1" applyAlignment="1">
      <alignment horizontal="right" vertical="center"/>
    </xf>
    <xf numFmtId="3" fontId="39" fillId="41" borderId="35" xfId="6" applyNumberFormat="1" applyFont="1" applyFill="1" applyBorder="1" applyAlignment="1"/>
    <xf numFmtId="10" fontId="39" fillId="41" borderId="29" xfId="12" applyNumberFormat="1" applyFont="1" applyFill="1" applyBorder="1" applyAlignment="1"/>
    <xf numFmtId="173" fontId="39" fillId="41" borderId="32" xfId="12" applyNumberFormat="1" applyFont="1" applyFill="1" applyBorder="1" applyAlignment="1"/>
    <xf numFmtId="171" fontId="38" fillId="0" borderId="32" xfId="6" applyNumberFormat="1" applyFont="1" applyBorder="1" applyAlignment="1"/>
    <xf numFmtId="4" fontId="38" fillId="0" borderId="32" xfId="6" applyNumberFormat="1" applyFont="1" applyBorder="1" applyAlignment="1"/>
    <xf numFmtId="170" fontId="39" fillId="0" borderId="35" xfId="12" applyNumberFormat="1" applyFont="1" applyBorder="1" applyAlignment="1"/>
    <xf numFmtId="171" fontId="39" fillId="41" borderId="29" xfId="14" applyNumberFormat="1" applyFont="1" applyFill="1" applyBorder="1" applyAlignment="1"/>
    <xf numFmtId="3" fontId="38" fillId="0" borderId="32" xfId="0" applyNumberFormat="1" applyFont="1" applyFill="1" applyBorder="1" applyAlignment="1"/>
    <xf numFmtId="0" fontId="38" fillId="40" borderId="0" xfId="5" applyFont="1" applyFill="1" applyBorder="1" applyAlignment="1"/>
    <xf numFmtId="10" fontId="39" fillId="41" borderId="29" xfId="12" applyNumberFormat="1" applyFont="1" applyFill="1" applyBorder="1" applyAlignment="1">
      <alignment horizontal="right" vertical="center"/>
    </xf>
    <xf numFmtId="10" fontId="39" fillId="41" borderId="30" xfId="12" applyNumberFormat="1" applyFont="1" applyFill="1" applyBorder="1" applyAlignment="1">
      <alignment horizontal="right" vertical="center"/>
    </xf>
    <xf numFmtId="10" fontId="39" fillId="41" borderId="32" xfId="12" applyNumberFormat="1" applyFont="1" applyFill="1" applyBorder="1" applyAlignment="1">
      <alignment horizontal="right" vertical="center"/>
    </xf>
    <xf numFmtId="10" fontId="46" fillId="0" borderId="27" xfId="12" applyNumberFormat="1" applyFont="1" applyFill="1" applyBorder="1" applyAlignment="1"/>
    <xf numFmtId="10" fontId="46" fillId="0" borderId="28" xfId="12" applyNumberFormat="1" applyFont="1" applyFill="1" applyBorder="1" applyAlignment="1"/>
    <xf numFmtId="173" fontId="46" fillId="0" borderId="30" xfId="12" applyNumberFormat="1" applyFont="1" applyFill="1" applyBorder="1" applyAlignment="1"/>
    <xf numFmtId="173" fontId="46" fillId="0" borderId="31" xfId="12" applyNumberFormat="1" applyFont="1" applyFill="1" applyBorder="1" applyAlignment="1"/>
    <xf numFmtId="270" fontId="39" fillId="0" borderId="0" xfId="14654" applyNumberFormat="1" applyFont="1" applyFill="1" applyBorder="1" applyAlignment="1">
      <alignment vertical="center"/>
    </xf>
    <xf numFmtId="174" fontId="39" fillId="0" borderId="0" xfId="6" applyNumberFormat="1" applyFont="1" applyBorder="1" applyAlignment="1"/>
    <xf numFmtId="3" fontId="333" fillId="0" borderId="31" xfId="6" applyNumberFormat="1" applyFont="1" applyBorder="1" applyAlignment="1"/>
    <xf numFmtId="170" fontId="46" fillId="0" borderId="31" xfId="12" applyNumberFormat="1" applyFont="1" applyFill="1" applyBorder="1" applyAlignment="1"/>
    <xf numFmtId="171" fontId="333" fillId="0" borderId="31" xfId="6" applyNumberFormat="1" applyFont="1" applyFill="1" applyBorder="1" applyAlignment="1"/>
    <xf numFmtId="4" fontId="333" fillId="0" borderId="31" xfId="6" applyNumberFormat="1" applyFont="1" applyFill="1" applyBorder="1" applyAlignment="1"/>
    <xf numFmtId="170" fontId="46" fillId="0" borderId="34" xfId="12" applyNumberFormat="1" applyFont="1" applyFill="1" applyBorder="1" applyAlignment="1"/>
    <xf numFmtId="10" fontId="46" fillId="0" borderId="37" xfId="12" applyNumberFormat="1" applyFont="1" applyFill="1" applyBorder="1" applyAlignment="1"/>
    <xf numFmtId="3" fontId="333" fillId="0" borderId="38" xfId="6" applyNumberFormat="1" applyFont="1" applyBorder="1" applyAlignment="1"/>
    <xf numFmtId="3" fontId="38" fillId="0" borderId="32" xfId="6" applyNumberFormat="1" applyFont="1" applyBorder="1" applyAlignment="1"/>
    <xf numFmtId="3" fontId="333" fillId="0" borderId="30" xfId="6" applyNumberFormat="1" applyFont="1" applyBorder="1" applyAlignment="1"/>
    <xf numFmtId="170" fontId="46" fillId="0" borderId="38" xfId="12" applyNumberFormat="1" applyFont="1" applyFill="1" applyBorder="1" applyAlignment="1"/>
    <xf numFmtId="170" fontId="39" fillId="0" borderId="32" xfId="12" applyNumberFormat="1" applyFont="1" applyFill="1" applyBorder="1" applyAlignment="1"/>
    <xf numFmtId="170" fontId="46" fillId="0" borderId="30" xfId="12" applyNumberFormat="1" applyFont="1" applyFill="1" applyBorder="1" applyAlignment="1"/>
    <xf numFmtId="171" fontId="333" fillId="0" borderId="38" xfId="6" applyNumberFormat="1" applyFont="1" applyFill="1" applyBorder="1" applyAlignment="1"/>
    <xf numFmtId="171" fontId="333" fillId="0" borderId="30" xfId="6" applyNumberFormat="1" applyFont="1" applyFill="1" applyBorder="1" applyAlignment="1"/>
    <xf numFmtId="4" fontId="333" fillId="0" borderId="38" xfId="6" applyNumberFormat="1" applyFont="1" applyFill="1" applyBorder="1" applyAlignment="1"/>
    <xf numFmtId="4" fontId="38" fillId="0" borderId="32" xfId="6" applyNumberFormat="1" applyFont="1" applyFill="1" applyBorder="1" applyAlignment="1"/>
    <xf numFmtId="4" fontId="333" fillId="0" borderId="30" xfId="6" applyNumberFormat="1" applyFont="1" applyFill="1" applyBorder="1" applyAlignment="1"/>
    <xf numFmtId="170" fontId="46" fillId="0" borderId="39" xfId="12" applyNumberFormat="1" applyFont="1" applyFill="1" applyBorder="1" applyAlignment="1"/>
    <xf numFmtId="170" fontId="39" fillId="0" borderId="35" xfId="12" applyNumberFormat="1" applyFont="1" applyFill="1" applyBorder="1" applyAlignment="1"/>
    <xf numFmtId="170" fontId="46" fillId="0" borderId="33" xfId="12" applyNumberFormat="1" applyFont="1" applyFill="1" applyBorder="1" applyAlignment="1"/>
    <xf numFmtId="171" fontId="313" fillId="40" borderId="31" xfId="5" applyNumberFormat="1" applyFont="1" applyFill="1" applyBorder="1"/>
    <xf numFmtId="171" fontId="309" fillId="40" borderId="33" xfId="5" applyNumberFormat="1" applyFont="1" applyFill="1" applyBorder="1"/>
    <xf numFmtId="171" fontId="309" fillId="40" borderId="34" xfId="5" applyNumberFormat="1" applyFont="1" applyFill="1" applyBorder="1"/>
    <xf numFmtId="171" fontId="309" fillId="40" borderId="35" xfId="5" applyNumberFormat="1" applyFont="1" applyFill="1" applyBorder="1"/>
    <xf numFmtId="0" fontId="324" fillId="0" borderId="41" xfId="14655" applyFont="1" applyFill="1" applyBorder="1" applyAlignment="1"/>
    <xf numFmtId="0" fontId="39" fillId="0" borderId="41" xfId="15" applyFont="1" applyFill="1" applyBorder="1" applyAlignment="1">
      <alignment horizontal="left"/>
    </xf>
    <xf numFmtId="0" fontId="336" fillId="0" borderId="0" xfId="0" applyFont="1"/>
    <xf numFmtId="3" fontId="39" fillId="40" borderId="16" xfId="14" applyNumberFormat="1" applyFont="1" applyFill="1" applyBorder="1" applyAlignment="1"/>
    <xf numFmtId="3" fontId="326" fillId="40" borderId="0" xfId="0" applyNumberFormat="1" applyFont="1" applyFill="1" applyBorder="1" applyAlignment="1"/>
    <xf numFmtId="3" fontId="334" fillId="40" borderId="20" xfId="14" applyNumberFormat="1" applyFont="1" applyFill="1" applyBorder="1" applyAlignment="1"/>
    <xf numFmtId="3" fontId="334" fillId="40" borderId="16" xfId="14" applyNumberFormat="1" applyFont="1" applyFill="1" applyBorder="1" applyAlignment="1"/>
    <xf numFmtId="3" fontId="326" fillId="40" borderId="16" xfId="14" applyNumberFormat="1" applyFont="1" applyFill="1" applyBorder="1" applyAlignment="1"/>
    <xf numFmtId="3" fontId="326" fillId="40" borderId="17" xfId="14" applyNumberFormat="1" applyFont="1" applyFill="1" applyBorder="1" applyAlignment="1"/>
    <xf numFmtId="3" fontId="39" fillId="40" borderId="15" xfId="14" applyNumberFormat="1" applyFont="1" applyFill="1" applyBorder="1" applyAlignment="1"/>
    <xf numFmtId="3" fontId="39" fillId="40" borderId="17" xfId="14" applyNumberFormat="1" applyFont="1" applyFill="1" applyBorder="1" applyAlignment="1"/>
    <xf numFmtId="166" fontId="20" fillId="0" borderId="0" xfId="6" applyNumberFormat="1" applyFont="1" applyFill="1" applyAlignment="1">
      <alignment horizontal="left"/>
    </xf>
    <xf numFmtId="0" fontId="20" fillId="34" borderId="0" xfId="5" applyFont="1" applyFill="1" applyAlignment="1">
      <alignment horizontal="left"/>
    </xf>
    <xf numFmtId="0" fontId="21" fillId="34" borderId="0" xfId="4" applyFont="1" applyFill="1" applyAlignment="1">
      <alignment horizontal="left"/>
    </xf>
    <xf numFmtId="167" fontId="31" fillId="0" borderId="0" xfId="6" applyNumberFormat="1" applyFont="1" applyFill="1" applyAlignment="1">
      <alignment horizontal="left"/>
    </xf>
    <xf numFmtId="0" fontId="31" fillId="34" borderId="0" xfId="5" applyFont="1" applyFill="1" applyAlignment="1">
      <alignment horizontal="left"/>
    </xf>
    <xf numFmtId="169" fontId="31" fillId="0" borderId="0" xfId="1904" applyNumberFormat="1" applyFont="1" applyFill="1" applyBorder="1" applyAlignment="1">
      <alignment horizontal="left"/>
    </xf>
    <xf numFmtId="0" fontId="26" fillId="45" borderId="15" xfId="4" applyFont="1" applyFill="1" applyBorder="1" applyAlignment="1">
      <alignment horizontal="center" vertical="center" wrapText="1"/>
    </xf>
    <xf numFmtId="0" fontId="339" fillId="44" borderId="10" xfId="6681" applyFont="1" applyFill="1" applyBorder="1" applyAlignment="1">
      <alignment vertical="center"/>
    </xf>
    <xf numFmtId="0" fontId="360" fillId="34" borderId="0" xfId="11" applyFont="1" applyFill="1" applyAlignment="1">
      <alignment vertical="center"/>
    </xf>
    <xf numFmtId="0" fontId="360" fillId="34" borderId="0" xfId="5" applyFont="1" applyFill="1" applyAlignment="1">
      <alignment vertical="center"/>
    </xf>
    <xf numFmtId="0" fontId="39" fillId="0" borderId="10" xfId="1904" applyFont="1" applyFill="1" applyBorder="1" applyAlignment="1">
      <alignment vertical="center"/>
    </xf>
    <xf numFmtId="166" fontId="20" fillId="0" borderId="0" xfId="6" quotePrefix="1" applyNumberFormat="1" applyFont="1" applyFill="1" applyAlignment="1"/>
    <xf numFmtId="10" fontId="31" fillId="0" borderId="0" xfId="6" quotePrefix="1" applyNumberFormat="1" applyFont="1" applyFill="1" applyAlignment="1"/>
    <xf numFmtId="0" fontId="34" fillId="0" borderId="0" xfId="1956" applyFont="1" applyFill="1" applyAlignment="1">
      <alignment horizontal="center" vertical="center"/>
    </xf>
    <xf numFmtId="4" fontId="31" fillId="0" borderId="0" xfId="6" quotePrefix="1" applyNumberFormat="1" applyFont="1" applyFill="1" applyAlignment="1"/>
    <xf numFmtId="0" fontId="30" fillId="0" borderId="0" xfId="7" applyFont="1" applyFill="1" applyAlignment="1">
      <alignment horizontal="left" indent="2"/>
    </xf>
    <xf numFmtId="10" fontId="39" fillId="40" borderId="27" xfId="12" applyNumberFormat="1" applyFont="1" applyFill="1" applyBorder="1" applyAlignment="1">
      <alignment horizontal="right" vertical="center"/>
    </xf>
    <xf numFmtId="10" fontId="39" fillId="40" borderId="28" xfId="12" applyNumberFormat="1" applyFont="1" applyFill="1" applyBorder="1" applyAlignment="1">
      <alignment horizontal="right" vertical="center"/>
    </xf>
    <xf numFmtId="10" fontId="39" fillId="40" borderId="29" xfId="12" applyNumberFormat="1" applyFont="1" applyFill="1" applyBorder="1" applyAlignment="1">
      <alignment horizontal="right" vertical="center"/>
    </xf>
    <xf numFmtId="170" fontId="39" fillId="40" borderId="28" xfId="12" applyNumberFormat="1" applyFont="1" applyFill="1" applyBorder="1" applyAlignment="1">
      <alignment vertical="center"/>
    </xf>
    <xf numFmtId="170" fontId="39" fillId="40" borderId="36" xfId="12" applyNumberFormat="1" applyFont="1" applyFill="1" applyBorder="1" applyAlignment="1">
      <alignment vertical="center"/>
    </xf>
    <xf numFmtId="0" fontId="325" fillId="40" borderId="0" xfId="14907" applyFont="1" applyFill="1" applyProtection="1"/>
    <xf numFmtId="0" fontId="325" fillId="127" borderId="0" xfId="14907" applyFont="1" applyFill="1" applyProtection="1"/>
    <xf numFmtId="0" fontId="361" fillId="40" borderId="0" xfId="14907" applyFont="1" applyFill="1" applyBorder="1" applyAlignment="1" applyProtection="1">
      <alignment horizontal="centerContinuous" vertical="center"/>
    </xf>
    <xf numFmtId="0" fontId="361" fillId="40" borderId="0" xfId="14907" applyFont="1" applyFill="1" applyBorder="1" applyAlignment="1" applyProtection="1">
      <alignment horizontal="centerContinuous"/>
    </xf>
    <xf numFmtId="0" fontId="325" fillId="40" borderId="0" xfId="14907" applyFont="1" applyFill="1" applyBorder="1" applyProtection="1"/>
    <xf numFmtId="0" fontId="361" fillId="40" borderId="0" xfId="14907" applyFont="1" applyFill="1" applyAlignment="1" applyProtection="1"/>
    <xf numFmtId="0" fontId="361" fillId="40" borderId="0" xfId="14907" applyFont="1" applyFill="1" applyBorder="1" applyAlignment="1" applyProtection="1">
      <alignment horizontal="left" vertical="center"/>
    </xf>
    <xf numFmtId="0" fontId="325" fillId="40" borderId="0" xfId="14907" applyFont="1" applyFill="1" applyBorder="1" applyAlignment="1" applyProtection="1">
      <alignment horizontal="left" vertical="center"/>
      <protection locked="0"/>
    </xf>
    <xf numFmtId="0" fontId="325" fillId="40" borderId="0" xfId="14907" applyFont="1" applyFill="1" applyBorder="1" applyAlignment="1" applyProtection="1">
      <alignment horizontal="left" vertical="center" indent="1"/>
      <protection locked="0"/>
    </xf>
    <xf numFmtId="0" fontId="361" fillId="40" borderId="0" xfId="14907" applyFont="1" applyFill="1" applyBorder="1" applyAlignment="1" applyProtection="1">
      <alignment horizontal="right" vertical="center"/>
    </xf>
    <xf numFmtId="0" fontId="361" fillId="45" borderId="15" xfId="0" applyFont="1" applyFill="1" applyBorder="1" applyAlignment="1">
      <alignment horizontal="center" wrapText="1"/>
    </xf>
    <xf numFmtId="0" fontId="361" fillId="45" borderId="16" xfId="0" applyFont="1" applyFill="1" applyBorder="1" applyAlignment="1">
      <alignment horizontal="center" wrapText="1"/>
    </xf>
    <xf numFmtId="0" fontId="361" fillId="45" borderId="17" xfId="0" applyFont="1" applyFill="1" applyBorder="1" applyAlignment="1">
      <alignment horizontal="center" wrapText="1"/>
    </xf>
    <xf numFmtId="0" fontId="361" fillId="40" borderId="104" xfId="14907" applyFont="1" applyFill="1" applyBorder="1" applyAlignment="1" applyProtection="1">
      <alignment horizontal="right"/>
    </xf>
    <xf numFmtId="3" fontId="325" fillId="40" borderId="0" xfId="14907" applyNumberFormat="1" applyFont="1" applyFill="1" applyProtection="1"/>
    <xf numFmtId="0" fontId="361" fillId="40" borderId="0" xfId="14907" applyFont="1" applyFill="1" applyBorder="1" applyAlignment="1" applyProtection="1">
      <alignment horizontal="center"/>
    </xf>
    <xf numFmtId="3" fontId="361" fillId="40" borderId="0" xfId="14907" applyNumberFormat="1" applyFont="1" applyFill="1" applyBorder="1" applyAlignment="1" applyProtection="1">
      <alignment horizontal="center"/>
    </xf>
    <xf numFmtId="3" fontId="325" fillId="40" borderId="0" xfId="14907" applyNumberFormat="1" applyFont="1" applyFill="1" applyBorder="1" applyProtection="1"/>
    <xf numFmtId="0" fontId="361" fillId="40" borderId="0" xfId="14907" applyFont="1" applyFill="1" applyBorder="1" applyAlignment="1" applyProtection="1">
      <alignment horizontal="right"/>
    </xf>
    <xf numFmtId="3" fontId="325" fillId="40" borderId="21" xfId="14907" applyNumberFormat="1" applyFont="1" applyFill="1" applyBorder="1" applyProtection="1"/>
    <xf numFmtId="3" fontId="325" fillId="40" borderId="27" xfId="14907" applyNumberFormat="1" applyFont="1" applyFill="1" applyBorder="1" applyAlignment="1" applyProtection="1">
      <alignment horizontal="right"/>
    </xf>
    <xf numFmtId="3" fontId="325" fillId="40" borderId="28" xfId="14907" applyNumberFormat="1" applyFont="1" applyFill="1" applyBorder="1" applyAlignment="1" applyProtection="1">
      <alignment horizontal="right"/>
    </xf>
    <xf numFmtId="3" fontId="325" fillId="40" borderId="29" xfId="14907" applyNumberFormat="1" applyFont="1" applyFill="1" applyBorder="1" applyAlignment="1" applyProtection="1">
      <alignment horizontal="right"/>
    </xf>
    <xf numFmtId="3" fontId="361" fillId="40" borderId="0" xfId="14907" applyNumberFormat="1" applyFont="1" applyFill="1" applyBorder="1" applyAlignment="1" applyProtection="1">
      <alignment horizontal="right"/>
    </xf>
    <xf numFmtId="3" fontId="325" fillId="40" borderId="22" xfId="14907" applyNumberFormat="1" applyFont="1" applyFill="1" applyBorder="1" applyProtection="1"/>
    <xf numFmtId="3" fontId="325" fillId="40" borderId="30" xfId="14907" applyNumberFormat="1" applyFont="1" applyFill="1" applyBorder="1" applyAlignment="1" applyProtection="1">
      <alignment horizontal="right"/>
    </xf>
    <xf numFmtId="3" fontId="325" fillId="40" borderId="31" xfId="14907" applyNumberFormat="1" applyFont="1" applyFill="1" applyBorder="1" applyAlignment="1" applyProtection="1">
      <alignment horizontal="right"/>
    </xf>
    <xf numFmtId="3" fontId="325" fillId="40" borderId="32" xfId="14907" applyNumberFormat="1" applyFont="1" applyFill="1" applyBorder="1" applyAlignment="1" applyProtection="1">
      <alignment horizontal="right"/>
    </xf>
    <xf numFmtId="0" fontId="325" fillId="40" borderId="22" xfId="0" applyFont="1" applyFill="1" applyBorder="1"/>
    <xf numFmtId="0" fontId="325" fillId="40" borderId="0" xfId="0" applyFont="1" applyFill="1" applyBorder="1"/>
    <xf numFmtId="0" fontId="325" fillId="40" borderId="22" xfId="14907" applyFont="1" applyFill="1" applyBorder="1" applyProtection="1"/>
    <xf numFmtId="3" fontId="325" fillId="40" borderId="33" xfId="14907" applyNumberFormat="1" applyFont="1" applyFill="1" applyBorder="1" applyAlignment="1" applyProtection="1">
      <alignment horizontal="right"/>
    </xf>
    <xf numFmtId="3" fontId="325" fillId="40" borderId="34" xfId="14907" applyNumberFormat="1" applyFont="1" applyFill="1" applyBorder="1" applyAlignment="1" applyProtection="1">
      <alignment horizontal="right"/>
    </xf>
    <xf numFmtId="3" fontId="325" fillId="40" borderId="35" xfId="14907" applyNumberFormat="1" applyFont="1" applyFill="1" applyBorder="1" applyAlignment="1" applyProtection="1">
      <alignment horizontal="right"/>
    </xf>
    <xf numFmtId="3" fontId="361" fillId="40" borderId="17" xfId="14907" applyNumberFormat="1" applyFont="1" applyFill="1" applyBorder="1" applyAlignment="1" applyProtection="1">
      <alignment horizontal="right"/>
    </xf>
    <xf numFmtId="3" fontId="361" fillId="40" borderId="15" xfId="14907" applyNumberFormat="1" applyFont="1" applyFill="1" applyBorder="1" applyAlignment="1" applyProtection="1">
      <alignment horizontal="right"/>
    </xf>
    <xf numFmtId="3" fontId="361" fillId="40" borderId="16" xfId="14907" applyNumberFormat="1" applyFont="1" applyFill="1" applyBorder="1" applyAlignment="1" applyProtection="1">
      <alignment horizontal="right"/>
    </xf>
    <xf numFmtId="3" fontId="362" fillId="40" borderId="28" xfId="14907" applyNumberFormat="1" applyFont="1" applyFill="1" applyBorder="1" applyAlignment="1" applyProtection="1">
      <alignment horizontal="right"/>
    </xf>
    <xf numFmtId="3" fontId="362" fillId="40" borderId="29" xfId="14907" applyNumberFormat="1" applyFont="1" applyFill="1" applyBorder="1" applyAlignment="1" applyProtection="1">
      <alignment horizontal="right"/>
    </xf>
    <xf numFmtId="165" fontId="358" fillId="40" borderId="116" xfId="14654" applyFont="1" applyFill="1" applyBorder="1" applyAlignment="1" applyProtection="1">
      <alignment horizontal="center" vertical="center"/>
    </xf>
    <xf numFmtId="0" fontId="328" fillId="40" borderId="0" xfId="0" applyFont="1" applyFill="1"/>
    <xf numFmtId="0" fontId="38" fillId="40" borderId="14" xfId="5" applyFont="1" applyFill="1" applyBorder="1"/>
    <xf numFmtId="0" fontId="328" fillId="40" borderId="14" xfId="0" applyFont="1" applyFill="1" applyBorder="1" applyAlignment="1">
      <alignment horizontal="left" vertical="center"/>
    </xf>
    <xf numFmtId="3" fontId="328" fillId="40" borderId="14" xfId="0" applyNumberFormat="1" applyFont="1" applyFill="1" applyBorder="1" applyAlignment="1">
      <alignment horizontal="right" vertical="center" shrinkToFit="1"/>
    </xf>
    <xf numFmtId="3" fontId="361" fillId="40" borderId="14" xfId="0" applyNumberFormat="1" applyFont="1" applyFill="1" applyBorder="1" applyAlignment="1">
      <alignment horizontal="right" vertical="center" shrinkToFit="1"/>
    </xf>
    <xf numFmtId="0" fontId="328" fillId="40" borderId="0" xfId="0" applyFont="1" applyFill="1" applyBorder="1" applyAlignment="1" applyProtection="1">
      <alignment wrapText="1"/>
      <protection locked="0"/>
    </xf>
    <xf numFmtId="0" fontId="0" fillId="40" borderId="0" xfId="0" applyFill="1"/>
    <xf numFmtId="9" fontId="0" fillId="40" borderId="0" xfId="0" applyNumberFormat="1" applyFill="1"/>
    <xf numFmtId="9" fontId="0" fillId="40" borderId="0" xfId="1" applyFont="1" applyFill="1"/>
    <xf numFmtId="43" fontId="0" fillId="40" borderId="0" xfId="0" applyNumberFormat="1" applyFill="1"/>
    <xf numFmtId="3" fontId="362" fillId="40" borderId="31" xfId="14907" applyNumberFormat="1" applyFont="1" applyFill="1" applyBorder="1" applyAlignment="1" applyProtection="1">
      <alignment horizontal="right"/>
    </xf>
    <xf numFmtId="3" fontId="362" fillId="40" borderId="32" xfId="14907" applyNumberFormat="1" applyFont="1" applyFill="1" applyBorder="1" applyAlignment="1" applyProtection="1">
      <alignment horizontal="right"/>
    </xf>
    <xf numFmtId="3" fontId="39" fillId="40" borderId="30" xfId="6" applyNumberFormat="1" applyFont="1" applyFill="1" applyBorder="1" applyAlignment="1"/>
    <xf numFmtId="3" fontId="39" fillId="40" borderId="31" xfId="6" applyNumberFormat="1" applyFont="1" applyFill="1" applyBorder="1" applyAlignment="1"/>
    <xf numFmtId="3" fontId="39" fillId="40" borderId="32" xfId="6" applyNumberFormat="1" applyFont="1" applyFill="1" applyBorder="1" applyAlignment="1"/>
    <xf numFmtId="0" fontId="38" fillId="0" borderId="0" xfId="6" applyFont="1" applyFill="1" applyAlignment="1">
      <alignment vertical="center"/>
    </xf>
    <xf numFmtId="0" fontId="39" fillId="0" borderId="0" xfId="6" applyFont="1" applyFill="1" applyAlignment="1">
      <alignment vertical="center"/>
    </xf>
    <xf numFmtId="0" fontId="46" fillId="0" borderId="0" xfId="6" applyFont="1" applyFill="1" applyAlignment="1">
      <alignment vertical="center"/>
    </xf>
    <xf numFmtId="272" fontId="327" fillId="0" borderId="0" xfId="14654" applyNumberFormat="1" applyFont="1" applyFill="1" applyBorder="1" applyAlignment="1">
      <alignment vertical="center"/>
    </xf>
    <xf numFmtId="3" fontId="342" fillId="0" borderId="37" xfId="6" applyNumberFormat="1" applyFont="1" applyFill="1" applyBorder="1" applyAlignment="1"/>
    <xf numFmtId="3" fontId="342" fillId="0" borderId="38" xfId="6" applyNumberFormat="1" applyFont="1" applyFill="1" applyBorder="1" applyAlignment="1"/>
    <xf numFmtId="3" fontId="342" fillId="0" borderId="39" xfId="6" applyNumberFormat="1" applyFont="1" applyFill="1" applyBorder="1" applyAlignment="1"/>
    <xf numFmtId="171" fontId="309" fillId="41" borderId="19" xfId="5" applyNumberFormat="1" applyFont="1" applyFill="1" applyBorder="1"/>
    <xf numFmtId="171" fontId="313" fillId="41" borderId="16" xfId="5" applyNumberFormat="1" applyFont="1" applyFill="1" applyBorder="1"/>
    <xf numFmtId="171" fontId="313" fillId="41" borderId="19" xfId="5" applyNumberFormat="1" applyFont="1" applyFill="1" applyBorder="1"/>
    <xf numFmtId="1" fontId="20" fillId="0" borderId="0" xfId="6" applyNumberFormat="1" applyFont="1" applyFill="1" applyAlignment="1"/>
    <xf numFmtId="0" fontId="38" fillId="40" borderId="0" xfId="14655" applyFont="1" applyFill="1" applyAlignment="1"/>
    <xf numFmtId="168" fontId="0" fillId="40" borderId="0" xfId="14911" applyNumberFormat="1" applyFont="1" applyFill="1"/>
    <xf numFmtId="43" fontId="0" fillId="40" borderId="0" xfId="14911" applyFont="1" applyFill="1"/>
    <xf numFmtId="3" fontId="327" fillId="0" borderId="15" xfId="14" applyNumberFormat="1" applyFont="1" applyFill="1" applyBorder="1" applyAlignment="1"/>
    <xf numFmtId="272" fontId="342" fillId="0" borderId="0" xfId="14654" applyNumberFormat="1" applyFont="1" applyFill="1" applyBorder="1" applyAlignment="1">
      <alignment vertical="center"/>
    </xf>
    <xf numFmtId="0" fontId="38" fillId="0" borderId="0" xfId="14655" applyFont="1" applyAlignment="1">
      <alignment horizontal="center"/>
    </xf>
    <xf numFmtId="0" fontId="363" fillId="41" borderId="15" xfId="0" applyFont="1" applyFill="1" applyBorder="1" applyAlignment="1">
      <alignment horizontal="center" vertical="center" wrapText="1"/>
    </xf>
    <xf numFmtId="0" fontId="363" fillId="41" borderId="17" xfId="0" applyFont="1" applyFill="1" applyBorder="1" applyAlignment="1">
      <alignment horizontal="center" vertical="center" wrapText="1"/>
    </xf>
    <xf numFmtId="0" fontId="363" fillId="41" borderId="18" xfId="0" applyFont="1" applyFill="1" applyBorder="1" applyAlignment="1">
      <alignment horizontal="center" vertical="center" wrapText="1"/>
    </xf>
    <xf numFmtId="0" fontId="363" fillId="41" borderId="15" xfId="0" applyFont="1" applyFill="1" applyBorder="1" applyAlignment="1">
      <alignment horizontal="center" vertical="center"/>
    </xf>
    <xf numFmtId="0" fontId="363" fillId="41" borderId="16" xfId="0" applyFont="1" applyFill="1" applyBorder="1" applyAlignment="1">
      <alignment horizontal="center" vertical="center"/>
    </xf>
    <xf numFmtId="0" fontId="363" fillId="41" borderId="17" xfId="0" applyFont="1" applyFill="1" applyBorder="1" applyAlignment="1">
      <alignment horizontal="center" vertical="center"/>
    </xf>
    <xf numFmtId="3" fontId="364" fillId="40" borderId="29" xfId="0" applyNumberFormat="1" applyFont="1" applyFill="1" applyBorder="1" applyAlignment="1">
      <alignment horizontal="right" vertical="center" shrinkToFit="1"/>
    </xf>
    <xf numFmtId="0" fontId="364" fillId="40" borderId="0" xfId="0" applyFont="1" applyFill="1"/>
    <xf numFmtId="3" fontId="362" fillId="40" borderId="40" xfId="0" applyNumberFormat="1" applyFont="1" applyFill="1" applyBorder="1" applyAlignment="1">
      <alignment horizontal="right" vertical="center" shrinkToFit="1"/>
    </xf>
    <xf numFmtId="3" fontId="328" fillId="40" borderId="32" xfId="0" applyNumberFormat="1" applyFont="1" applyFill="1" applyBorder="1" applyAlignment="1">
      <alignment horizontal="right" vertical="center" shrinkToFit="1"/>
    </xf>
    <xf numFmtId="0" fontId="362" fillId="40" borderId="30" xfId="0" applyFont="1" applyFill="1" applyBorder="1" applyAlignment="1">
      <alignment horizontal="left" vertical="center"/>
    </xf>
    <xf numFmtId="0" fontId="362" fillId="40" borderId="40" xfId="0" applyFont="1" applyFill="1" applyBorder="1" applyAlignment="1">
      <alignment horizontal="left" vertical="center"/>
    </xf>
    <xf numFmtId="3" fontId="328" fillId="40" borderId="35" xfId="0" applyNumberFormat="1" applyFont="1" applyFill="1" applyBorder="1" applyAlignment="1">
      <alignment horizontal="right" vertical="center" shrinkToFit="1"/>
    </xf>
    <xf numFmtId="3" fontId="328" fillId="40" borderId="135" xfId="0" applyNumberFormat="1" applyFont="1" applyFill="1" applyBorder="1" applyAlignment="1">
      <alignment horizontal="right" vertical="center" shrinkToFit="1"/>
    </xf>
    <xf numFmtId="0" fontId="328" fillId="40" borderId="135" xfId="0" applyFont="1" applyFill="1" applyBorder="1" applyAlignment="1">
      <alignment horizontal="left" vertical="center"/>
    </xf>
    <xf numFmtId="0" fontId="328" fillId="40" borderId="137" xfId="0" applyFont="1" applyFill="1" applyBorder="1" applyAlignment="1">
      <alignment horizontal="left" vertical="center"/>
    </xf>
    <xf numFmtId="3" fontId="328" fillId="40" borderId="138" xfId="0" applyNumberFormat="1" applyFont="1" applyFill="1" applyBorder="1" applyAlignment="1">
      <alignment horizontal="right" vertical="center" shrinkToFit="1"/>
    </xf>
    <xf numFmtId="3" fontId="328" fillId="40" borderId="137" xfId="0" applyNumberFormat="1" applyFont="1" applyFill="1" applyBorder="1" applyAlignment="1">
      <alignment horizontal="right" vertical="center" shrinkToFit="1"/>
    </xf>
    <xf numFmtId="0" fontId="328" fillId="40" borderId="20" xfId="0" applyFont="1" applyFill="1" applyBorder="1" applyAlignment="1">
      <alignment horizontal="left" vertical="center"/>
    </xf>
    <xf numFmtId="3" fontId="328" fillId="40" borderId="19" xfId="0" applyNumberFormat="1" applyFont="1" applyFill="1" applyBorder="1" applyAlignment="1">
      <alignment horizontal="right" vertical="center" shrinkToFit="1"/>
    </xf>
    <xf numFmtId="3" fontId="328" fillId="40" borderId="20" xfId="0" applyNumberFormat="1" applyFont="1" applyFill="1" applyBorder="1" applyAlignment="1">
      <alignment horizontal="right" vertical="center" shrinkToFit="1"/>
    </xf>
    <xf numFmtId="3" fontId="363" fillId="40" borderId="18" xfId="0" applyNumberFormat="1" applyFont="1" applyFill="1" applyBorder="1" applyAlignment="1">
      <alignment horizontal="right" vertical="center" shrinkToFit="1"/>
    </xf>
    <xf numFmtId="3" fontId="363" fillId="40" borderId="17" xfId="0" applyNumberFormat="1" applyFont="1" applyFill="1" applyBorder="1" applyAlignment="1">
      <alignment horizontal="right" vertical="center" shrinkToFit="1"/>
    </xf>
    <xf numFmtId="3" fontId="363" fillId="40" borderId="16" xfId="0" applyNumberFormat="1" applyFont="1" applyFill="1" applyBorder="1" applyAlignment="1">
      <alignment horizontal="right" vertical="center" shrinkToFit="1"/>
    </xf>
    <xf numFmtId="3" fontId="363" fillId="40" borderId="101" xfId="0" applyNumberFormat="1" applyFont="1" applyFill="1" applyBorder="1" applyAlignment="1">
      <alignment horizontal="right" vertical="center" shrinkToFit="1"/>
    </xf>
    <xf numFmtId="0" fontId="363" fillId="41" borderId="101" xfId="0" applyFont="1" applyFill="1" applyBorder="1" applyAlignment="1">
      <alignment horizontal="center" vertical="center"/>
    </xf>
    <xf numFmtId="3" fontId="362" fillId="40" borderId="139" xfId="0" applyNumberFormat="1" applyFont="1" applyFill="1" applyBorder="1" applyAlignment="1">
      <alignment horizontal="right" vertical="center" shrinkToFit="1"/>
    </xf>
    <xf numFmtId="0" fontId="362" fillId="40" borderId="32" xfId="0" applyFont="1" applyFill="1" applyBorder="1" applyAlignment="1">
      <alignment horizontal="left" vertical="center"/>
    </xf>
    <xf numFmtId="0" fontId="328" fillId="40" borderId="0" xfId="0" applyFont="1" applyFill="1" applyBorder="1" applyAlignment="1">
      <alignment horizontal="left" vertical="center"/>
    </xf>
    <xf numFmtId="0" fontId="328" fillId="40" borderId="25" xfId="0" applyFont="1" applyFill="1" applyBorder="1" applyAlignment="1">
      <alignment horizontal="left" vertical="center"/>
    </xf>
    <xf numFmtId="0" fontId="328" fillId="40" borderId="38" xfId="0" applyFont="1" applyFill="1" applyBorder="1" applyAlignment="1">
      <alignment horizontal="left" vertical="center"/>
    </xf>
    <xf numFmtId="3" fontId="363" fillId="40" borderId="15" xfId="0" applyNumberFormat="1" applyFont="1" applyFill="1" applyBorder="1" applyAlignment="1">
      <alignment horizontal="right" vertical="center" shrinkToFit="1"/>
    </xf>
    <xf numFmtId="0" fontId="363" fillId="40" borderId="17" xfId="0" applyFont="1" applyFill="1" applyBorder="1" applyAlignment="1">
      <alignment horizontal="right" vertical="center"/>
    </xf>
    <xf numFmtId="3" fontId="363" fillId="40" borderId="15" xfId="0" applyNumberFormat="1" applyFont="1" applyFill="1" applyBorder="1" applyAlignment="1">
      <alignment horizontal="right" vertical="center"/>
    </xf>
    <xf numFmtId="0" fontId="365" fillId="40" borderId="15" xfId="0" applyFont="1" applyFill="1" applyBorder="1" applyAlignment="1">
      <alignment horizontal="right" vertical="center"/>
    </xf>
    <xf numFmtId="0" fontId="365" fillId="40" borderId="17" xfId="0" applyFont="1" applyFill="1" applyBorder="1" applyAlignment="1">
      <alignment horizontal="right" vertical="center"/>
    </xf>
    <xf numFmtId="3" fontId="365" fillId="40" borderId="18" xfId="0" applyNumberFormat="1" applyFont="1" applyFill="1" applyBorder="1" applyAlignment="1">
      <alignment horizontal="right" vertical="center" shrinkToFit="1"/>
    </xf>
    <xf numFmtId="3" fontId="365" fillId="40" borderId="17" xfId="0" applyNumberFormat="1" applyFont="1" applyFill="1" applyBorder="1" applyAlignment="1">
      <alignment horizontal="right" vertical="center" shrinkToFit="1"/>
    </xf>
    <xf numFmtId="3" fontId="365" fillId="40" borderId="14" xfId="0" applyNumberFormat="1" applyFont="1" applyFill="1" applyBorder="1" applyAlignment="1">
      <alignment horizontal="right" vertical="center" shrinkToFit="1"/>
    </xf>
    <xf numFmtId="3" fontId="365" fillId="40" borderId="16" xfId="0" applyNumberFormat="1" applyFont="1" applyFill="1" applyBorder="1" applyAlignment="1">
      <alignment horizontal="right" vertical="center" shrinkToFit="1"/>
    </xf>
    <xf numFmtId="3" fontId="365" fillId="40" borderId="101" xfId="0" applyNumberFormat="1" applyFont="1" applyFill="1" applyBorder="1" applyAlignment="1">
      <alignment horizontal="right" vertical="center" shrinkToFit="1"/>
    </xf>
    <xf numFmtId="0" fontId="362" fillId="40" borderId="27" xfId="0" applyFont="1" applyFill="1" applyBorder="1" applyAlignment="1">
      <alignment horizontal="left" vertical="center"/>
    </xf>
    <xf numFmtId="0" fontId="362" fillId="40" borderId="139" xfId="0" applyFont="1" applyFill="1" applyBorder="1" applyAlignment="1">
      <alignment horizontal="left" vertical="center"/>
    </xf>
    <xf numFmtId="3" fontId="362" fillId="40" borderId="27" xfId="0" applyNumberFormat="1" applyFont="1" applyFill="1" applyBorder="1" applyAlignment="1">
      <alignment horizontal="right" vertical="center" shrinkToFit="1"/>
    </xf>
    <xf numFmtId="3" fontId="362" fillId="40" borderId="29" xfId="0" applyNumberFormat="1" applyFont="1" applyFill="1" applyBorder="1" applyAlignment="1">
      <alignment horizontal="right" vertical="center" shrinkToFit="1"/>
    </xf>
    <xf numFmtId="3" fontId="362" fillId="40" borderId="37" xfId="0" applyNumberFormat="1" applyFont="1" applyFill="1" applyBorder="1" applyAlignment="1">
      <alignment horizontal="right" vertical="center" shrinkToFit="1"/>
    </xf>
    <xf numFmtId="3" fontId="362" fillId="40" borderId="21" xfId="0" applyNumberFormat="1" applyFont="1" applyFill="1" applyBorder="1" applyAlignment="1">
      <alignment horizontal="right" vertical="center" shrinkToFit="1"/>
    </xf>
    <xf numFmtId="3" fontId="362" fillId="40" borderId="28" xfId="0" applyNumberFormat="1" applyFont="1" applyFill="1" applyBorder="1" applyAlignment="1">
      <alignment horizontal="right" vertical="center" shrinkToFit="1"/>
    </xf>
    <xf numFmtId="3" fontId="362" fillId="40" borderId="30" xfId="0" applyNumberFormat="1" applyFont="1" applyFill="1" applyBorder="1" applyAlignment="1">
      <alignment horizontal="right" vertical="center" shrinkToFit="1"/>
    </xf>
    <xf numFmtId="3" fontId="362" fillId="40" borderId="32" xfId="0" applyNumberFormat="1" applyFont="1" applyFill="1" applyBorder="1" applyAlignment="1">
      <alignment horizontal="right" vertical="center" shrinkToFit="1"/>
    </xf>
    <xf numFmtId="3" fontId="362" fillId="40" borderId="38" xfId="0" applyNumberFormat="1" applyFont="1" applyFill="1" applyBorder="1" applyAlignment="1">
      <alignment horizontal="right" vertical="center" shrinkToFit="1"/>
    </xf>
    <xf numFmtId="3" fontId="362" fillId="40" borderId="22" xfId="0" applyNumberFormat="1" applyFont="1" applyFill="1" applyBorder="1" applyAlignment="1">
      <alignment horizontal="right" vertical="center" shrinkToFit="1"/>
    </xf>
    <xf numFmtId="3" fontId="362" fillId="40" borderId="31" xfId="0" applyNumberFormat="1" applyFont="1" applyFill="1" applyBorder="1" applyAlignment="1">
      <alignment horizontal="right" vertical="center" shrinkToFit="1"/>
    </xf>
    <xf numFmtId="0" fontId="362" fillId="40" borderId="33" xfId="0" applyFont="1" applyFill="1" applyBorder="1" applyAlignment="1">
      <alignment horizontal="left" vertical="center"/>
    </xf>
    <xf numFmtId="0" fontId="362" fillId="40" borderId="140" xfId="0" applyFont="1" applyFill="1" applyBorder="1" applyAlignment="1">
      <alignment horizontal="left" vertical="center"/>
    </xf>
    <xf numFmtId="0" fontId="362" fillId="40" borderId="35" xfId="0" applyFont="1" applyFill="1" applyBorder="1" applyAlignment="1">
      <alignment horizontal="left" vertical="center"/>
    </xf>
    <xf numFmtId="3" fontId="362" fillId="40" borderId="141" xfId="0" applyNumberFormat="1" applyFont="1" applyFill="1" applyBorder="1" applyAlignment="1">
      <alignment horizontal="right" vertical="center" shrinkToFit="1"/>
    </xf>
    <xf numFmtId="3" fontId="362" fillId="40" borderId="35" xfId="0" applyNumberFormat="1" applyFont="1" applyFill="1" applyBorder="1" applyAlignment="1">
      <alignment horizontal="right" vertical="center" shrinkToFit="1"/>
    </xf>
    <xf numFmtId="3" fontId="362" fillId="40" borderId="135" xfId="0" applyNumberFormat="1" applyFont="1" applyFill="1" applyBorder="1" applyAlignment="1">
      <alignment horizontal="right" vertical="center" shrinkToFit="1"/>
    </xf>
    <xf numFmtId="3" fontId="362" fillId="40" borderId="33" xfId="0" applyNumberFormat="1" applyFont="1" applyFill="1" applyBorder="1" applyAlignment="1">
      <alignment horizontal="right" vertical="center" shrinkToFit="1"/>
    </xf>
    <xf numFmtId="3" fontId="362" fillId="40" borderId="34" xfId="0" applyNumberFormat="1" applyFont="1" applyFill="1" applyBorder="1" applyAlignment="1">
      <alignment horizontal="right" vertical="center" shrinkToFit="1"/>
    </xf>
    <xf numFmtId="3" fontId="362" fillId="40" borderId="140" xfId="0" applyNumberFormat="1" applyFont="1" applyFill="1" applyBorder="1" applyAlignment="1">
      <alignment horizontal="right" vertical="center" shrinkToFit="1"/>
    </xf>
    <xf numFmtId="0" fontId="362" fillId="40" borderId="29" xfId="0" applyFont="1" applyFill="1" applyBorder="1" applyAlignment="1">
      <alignment horizontal="left" vertical="center"/>
    </xf>
    <xf numFmtId="0" fontId="362" fillId="40" borderId="0" xfId="0" applyFont="1" applyFill="1" applyBorder="1" applyAlignment="1">
      <alignment horizontal="left" vertical="center"/>
    </xf>
    <xf numFmtId="0" fontId="362" fillId="40" borderId="136" xfId="0" applyFont="1" applyFill="1" applyBorder="1" applyAlignment="1">
      <alignment horizontal="left" vertical="center"/>
    </xf>
    <xf numFmtId="3" fontId="365" fillId="40" borderId="15" xfId="0" applyNumberFormat="1" applyFont="1" applyFill="1" applyBorder="1" applyAlignment="1">
      <alignment horizontal="right" vertical="center" shrinkToFit="1"/>
    </xf>
    <xf numFmtId="171" fontId="313" fillId="0" borderId="29" xfId="5" applyNumberFormat="1" applyFont="1" applyBorder="1"/>
    <xf numFmtId="171" fontId="313" fillId="0" borderId="32" xfId="5" applyNumberFormat="1" applyFont="1" applyBorder="1"/>
    <xf numFmtId="171" fontId="313" fillId="40" borderId="34" xfId="5" applyNumberFormat="1" applyFont="1" applyFill="1" applyBorder="1"/>
    <xf numFmtId="171" fontId="313" fillId="40" borderId="35" xfId="5" applyNumberFormat="1" applyFont="1" applyFill="1" applyBorder="1"/>
    <xf numFmtId="3" fontId="327" fillId="0" borderId="28" xfId="14655" applyNumberFormat="1" applyFont="1" applyFill="1" applyBorder="1" applyAlignment="1">
      <alignment horizontal="center"/>
    </xf>
    <xf numFmtId="3" fontId="327" fillId="0" borderId="29" xfId="14655" applyNumberFormat="1" applyFont="1" applyFill="1" applyBorder="1" applyAlignment="1">
      <alignment horizontal="center"/>
    </xf>
    <xf numFmtId="3" fontId="327" fillId="0" borderId="31" xfId="14655" applyNumberFormat="1" applyFont="1" applyFill="1" applyBorder="1" applyAlignment="1">
      <alignment horizontal="center"/>
    </xf>
    <xf numFmtId="3" fontId="327" fillId="0" borderId="32" xfId="14655" applyNumberFormat="1" applyFont="1" applyFill="1" applyBorder="1" applyAlignment="1">
      <alignment horizontal="center"/>
    </xf>
    <xf numFmtId="3" fontId="327" fillId="0" borderId="34" xfId="14655" applyNumberFormat="1" applyFont="1" applyFill="1" applyBorder="1" applyAlignment="1">
      <alignment horizontal="center"/>
    </xf>
    <xf numFmtId="3" fontId="327" fillId="0" borderId="35" xfId="14655" applyNumberFormat="1" applyFont="1" applyFill="1" applyBorder="1" applyAlignment="1">
      <alignment horizontal="center"/>
    </xf>
    <xf numFmtId="0" fontId="37" fillId="0" borderId="0" xfId="15" applyFont="1" applyAlignment="1">
      <alignment horizontal="center"/>
    </xf>
    <xf numFmtId="0" fontId="39" fillId="0" borderId="0" xfId="14655" applyFont="1" applyFill="1" applyBorder="1" applyAlignment="1">
      <alignment horizontal="center"/>
    </xf>
    <xf numFmtId="0" fontId="39" fillId="0" borderId="0" xfId="14655" applyFont="1" applyAlignment="1">
      <alignment horizontal="center"/>
    </xf>
    <xf numFmtId="0" fontId="39" fillId="0" borderId="0" xfId="14655" applyFont="1" applyBorder="1" applyAlignment="1">
      <alignment horizontal="center"/>
    </xf>
    <xf numFmtId="0" fontId="38" fillId="45" borderId="20" xfId="5" applyFont="1" applyFill="1" applyBorder="1" applyAlignment="1">
      <alignment horizontal="center" vertical="center" wrapText="1"/>
    </xf>
    <xf numFmtId="0" fontId="38" fillId="45" borderId="15" xfId="5" applyFont="1" applyFill="1" applyBorder="1" applyAlignment="1">
      <alignment horizontal="center" vertical="center" wrapText="1"/>
    </xf>
    <xf numFmtId="0" fontId="38" fillId="45" borderId="16" xfId="5" applyFont="1" applyFill="1" applyBorder="1" applyAlignment="1">
      <alignment horizontal="center" vertical="center" wrapText="1"/>
    </xf>
    <xf numFmtId="0" fontId="38" fillId="45" borderId="17" xfId="5" applyFont="1" applyFill="1" applyBorder="1" applyAlignment="1">
      <alignment horizontal="center" vertical="center" wrapText="1"/>
    </xf>
    <xf numFmtId="0" fontId="44" fillId="0" borderId="24" xfId="15" applyFont="1" applyBorder="1" applyAlignment="1">
      <alignment horizontal="center"/>
    </xf>
    <xf numFmtId="3" fontId="39" fillId="0" borderId="21" xfId="14655" applyNumberFormat="1" applyFont="1" applyFill="1" applyBorder="1" applyAlignment="1">
      <alignment horizontal="center"/>
    </xf>
    <xf numFmtId="3" fontId="39" fillId="40" borderId="27" xfId="14655" applyNumberFormat="1" applyFont="1" applyFill="1" applyBorder="1" applyAlignment="1">
      <alignment horizontal="center"/>
    </xf>
    <xf numFmtId="3" fontId="39" fillId="51" borderId="28" xfId="14655" applyNumberFormat="1" applyFont="1" applyFill="1" applyBorder="1" applyAlignment="1">
      <alignment horizontal="center"/>
    </xf>
    <xf numFmtId="3" fontId="39" fillId="47" borderId="28" xfId="14655" applyNumberFormat="1" applyFont="1" applyFill="1" applyBorder="1" applyAlignment="1">
      <alignment horizontal="center"/>
    </xf>
    <xf numFmtId="171" fontId="39" fillId="47" borderId="29" xfId="14655" applyNumberFormat="1" applyFont="1" applyFill="1" applyBorder="1" applyAlignment="1">
      <alignment horizontal="center"/>
    </xf>
    <xf numFmtId="3" fontId="39" fillId="47" borderId="21" xfId="14655" applyNumberFormat="1" applyFont="1" applyFill="1" applyBorder="1" applyAlignment="1">
      <alignment horizontal="center"/>
    </xf>
    <xf numFmtId="3" fontId="39" fillId="0" borderId="22" xfId="14655" applyNumberFormat="1" applyFont="1" applyFill="1" applyBorder="1" applyAlignment="1">
      <alignment horizontal="center"/>
    </xf>
    <xf numFmtId="3" fontId="39" fillId="51" borderId="30" xfId="14655" applyNumberFormat="1" applyFont="1" applyFill="1" applyBorder="1" applyAlignment="1">
      <alignment horizontal="center"/>
    </xf>
    <xf numFmtId="3" fontId="39" fillId="40" borderId="31" xfId="14655" applyNumberFormat="1" applyFont="1" applyFill="1" applyBorder="1" applyAlignment="1">
      <alignment horizontal="center"/>
    </xf>
    <xf numFmtId="3" fontId="39" fillId="47" borderId="31" xfId="14655" applyNumberFormat="1" applyFont="1" applyFill="1" applyBorder="1" applyAlignment="1">
      <alignment horizontal="center"/>
    </xf>
    <xf numFmtId="3" fontId="39" fillId="47" borderId="32" xfId="14655" applyNumberFormat="1" applyFont="1" applyFill="1" applyBorder="1" applyAlignment="1">
      <alignment horizontal="center"/>
    </xf>
    <xf numFmtId="3" fontId="39" fillId="47" borderId="22" xfId="14655" applyNumberFormat="1" applyFont="1" applyFill="1" applyBorder="1" applyAlignment="1">
      <alignment horizontal="center"/>
    </xf>
    <xf numFmtId="3" fontId="39" fillId="0" borderId="14" xfId="14655" applyNumberFormat="1" applyFont="1" applyFill="1" applyBorder="1" applyAlignment="1">
      <alignment horizontal="center"/>
    </xf>
    <xf numFmtId="3" fontId="39" fillId="0" borderId="15" xfId="14655" applyNumberFormat="1" applyFont="1" applyFill="1" applyBorder="1" applyAlignment="1">
      <alignment horizontal="center"/>
    </xf>
    <xf numFmtId="3" fontId="39" fillId="0" borderId="16" xfId="14655" applyNumberFormat="1" applyFont="1" applyFill="1" applyBorder="1" applyAlignment="1">
      <alignment horizontal="center"/>
    </xf>
    <xf numFmtId="3" fontId="326" fillId="47" borderId="16" xfId="14655" applyNumberFormat="1" applyFont="1" applyFill="1" applyBorder="1" applyAlignment="1">
      <alignment horizontal="center"/>
    </xf>
    <xf numFmtId="3" fontId="326" fillId="47" borderId="17" xfId="14655" applyNumberFormat="1" applyFont="1" applyFill="1" applyBorder="1" applyAlignment="1">
      <alignment horizontal="center"/>
    </xf>
    <xf numFmtId="3" fontId="326" fillId="47" borderId="14" xfId="14655" applyNumberFormat="1" applyFont="1" applyFill="1" applyBorder="1" applyAlignment="1">
      <alignment horizontal="center"/>
    </xf>
    <xf numFmtId="0" fontId="39" fillId="0" borderId="24" xfId="15" applyFont="1" applyFill="1" applyBorder="1" applyAlignment="1">
      <alignment horizontal="center"/>
    </xf>
    <xf numFmtId="3" fontId="39" fillId="47" borderId="30" xfId="14655" applyNumberFormat="1" applyFont="1" applyFill="1" applyBorder="1" applyAlignment="1">
      <alignment horizontal="center"/>
    </xf>
    <xf numFmtId="171" fontId="39" fillId="47" borderId="32" xfId="14655" applyNumberFormat="1" applyFont="1" applyFill="1" applyBorder="1" applyAlignment="1">
      <alignment horizontal="center"/>
    </xf>
    <xf numFmtId="3" fontId="39" fillId="47" borderId="135" xfId="14655" applyNumberFormat="1" applyFont="1" applyFill="1" applyBorder="1" applyAlignment="1">
      <alignment horizontal="center"/>
    </xf>
    <xf numFmtId="3" fontId="39" fillId="47" borderId="33" xfId="14655" applyNumberFormat="1" applyFont="1" applyFill="1" applyBorder="1" applyAlignment="1">
      <alignment horizontal="center"/>
    </xf>
    <xf numFmtId="3" fontId="39" fillId="47" borderId="34" xfId="14655" applyNumberFormat="1" applyFont="1" applyFill="1" applyBorder="1" applyAlignment="1">
      <alignment horizontal="center"/>
    </xf>
    <xf numFmtId="171" fontId="39" fillId="47" borderId="35" xfId="14655" applyNumberFormat="1" applyFont="1" applyFill="1" applyBorder="1" applyAlignment="1">
      <alignment horizontal="center"/>
    </xf>
    <xf numFmtId="3" fontId="39" fillId="47" borderId="23" xfId="14655" applyNumberFormat="1" applyFont="1" applyFill="1" applyBorder="1" applyAlignment="1">
      <alignment horizontal="center"/>
    </xf>
    <xf numFmtId="3" fontId="38" fillId="0" borderId="14" xfId="14655" applyNumberFormat="1" applyFont="1" applyFill="1" applyBorder="1" applyAlignment="1">
      <alignment horizontal="center"/>
    </xf>
    <xf numFmtId="3" fontId="38" fillId="0" borderId="18" xfId="14655" applyNumberFormat="1" applyFont="1" applyFill="1" applyBorder="1" applyAlignment="1">
      <alignment horizontal="center"/>
    </xf>
    <xf numFmtId="3" fontId="38" fillId="0" borderId="16" xfId="14655" applyNumberFormat="1" applyFont="1" applyFill="1" applyBorder="1" applyAlignment="1">
      <alignment horizontal="center"/>
    </xf>
    <xf numFmtId="3" fontId="38" fillId="0" borderId="101" xfId="14655" applyNumberFormat="1" applyFont="1" applyFill="1" applyBorder="1" applyAlignment="1">
      <alignment horizontal="center"/>
    </xf>
    <xf numFmtId="0" fontId="324" fillId="0" borderId="12" xfId="14655" applyFont="1" applyFill="1" applyBorder="1" applyAlignment="1">
      <alignment horizontal="center"/>
    </xf>
    <xf numFmtId="3" fontId="39" fillId="0" borderId="12" xfId="14655" applyNumberFormat="1" applyFont="1" applyFill="1" applyBorder="1" applyAlignment="1">
      <alignment horizontal="center"/>
    </xf>
    <xf numFmtId="3" fontId="39" fillId="47" borderId="36" xfId="14655" applyNumberFormat="1" applyFont="1" applyFill="1" applyBorder="1" applyAlignment="1">
      <alignment horizontal="center"/>
    </xf>
    <xf numFmtId="3" fontId="39" fillId="47" borderId="27" xfId="14655" applyNumberFormat="1" applyFont="1" applyFill="1" applyBorder="1" applyAlignment="1">
      <alignment horizontal="center"/>
    </xf>
    <xf numFmtId="3" fontId="39" fillId="47" borderId="29" xfId="14655" applyNumberFormat="1" applyFont="1" applyFill="1" applyBorder="1" applyAlignment="1">
      <alignment horizontal="center"/>
    </xf>
    <xf numFmtId="3" fontId="39" fillId="47" borderId="10" xfId="14655" applyNumberFormat="1" applyFont="1" applyFill="1" applyBorder="1" applyAlignment="1">
      <alignment horizontal="center"/>
    </xf>
    <xf numFmtId="3" fontId="39" fillId="47" borderId="14" xfId="14655" applyNumberFormat="1" applyFont="1" applyFill="1" applyBorder="1" applyAlignment="1">
      <alignment horizontal="center"/>
    </xf>
    <xf numFmtId="3" fontId="38" fillId="47" borderId="18" xfId="14655" applyNumberFormat="1" applyFont="1" applyFill="1" applyBorder="1" applyAlignment="1">
      <alignment horizontal="center"/>
    </xf>
    <xf numFmtId="3" fontId="38" fillId="47" borderId="16" xfId="14655" applyNumberFormat="1" applyFont="1" applyFill="1" applyBorder="1" applyAlignment="1">
      <alignment horizontal="center"/>
    </xf>
    <xf numFmtId="3" fontId="38" fillId="47" borderId="101" xfId="14655" applyNumberFormat="1" applyFont="1" applyFill="1" applyBorder="1" applyAlignment="1">
      <alignment horizontal="center"/>
    </xf>
    <xf numFmtId="3" fontId="38" fillId="47" borderId="14" xfId="14655" applyNumberFormat="1" applyFont="1" applyFill="1" applyBorder="1" applyAlignment="1">
      <alignment horizontal="center"/>
    </xf>
    <xf numFmtId="0" fontId="324" fillId="0" borderId="41" xfId="14655" applyFont="1" applyFill="1" applyBorder="1" applyAlignment="1">
      <alignment horizontal="center"/>
    </xf>
    <xf numFmtId="3" fontId="39" fillId="0" borderId="41" xfId="14655" applyNumberFormat="1" applyFont="1" applyFill="1" applyBorder="1" applyAlignment="1">
      <alignment horizontal="center"/>
    </xf>
    <xf numFmtId="0" fontId="39" fillId="0" borderId="136" xfId="15" applyFont="1" applyFill="1" applyBorder="1" applyAlignment="1">
      <alignment horizontal="center"/>
    </xf>
    <xf numFmtId="3" fontId="39" fillId="47" borderId="25" xfId="14655" applyNumberFormat="1" applyFont="1" applyFill="1" applyBorder="1" applyAlignment="1">
      <alignment horizontal="center"/>
    </xf>
    <xf numFmtId="3" fontId="326" fillId="47" borderId="31" xfId="14655" applyNumberFormat="1" applyFont="1" applyFill="1" applyBorder="1" applyAlignment="1">
      <alignment horizontal="center"/>
    </xf>
    <xf numFmtId="3" fontId="326" fillId="47" borderId="32" xfId="14655" applyNumberFormat="1" applyFont="1" applyFill="1" applyBorder="1" applyAlignment="1">
      <alignment horizontal="center"/>
    </xf>
    <xf numFmtId="3" fontId="39" fillId="47" borderId="11" xfId="14655" applyNumberFormat="1" applyFont="1" applyFill="1" applyBorder="1" applyAlignment="1">
      <alignment horizontal="center"/>
    </xf>
    <xf numFmtId="3" fontId="39" fillId="51" borderId="27" xfId="14655" applyNumberFormat="1" applyFont="1" applyFill="1" applyBorder="1" applyAlignment="1">
      <alignment horizontal="center"/>
    </xf>
    <xf numFmtId="3" fontId="39" fillId="0" borderId="28" xfId="14655" applyNumberFormat="1" applyFont="1" applyFill="1" applyBorder="1" applyAlignment="1">
      <alignment horizontal="center"/>
    </xf>
    <xf numFmtId="3" fontId="39" fillId="51" borderId="31" xfId="14655" applyNumberFormat="1" applyFont="1" applyFill="1" applyBorder="1" applyAlignment="1">
      <alignment horizontal="center"/>
    </xf>
    <xf numFmtId="3" fontId="39" fillId="0" borderId="32" xfId="14655" applyNumberFormat="1" applyFont="1" applyFill="1" applyBorder="1" applyAlignment="1">
      <alignment horizontal="center"/>
    </xf>
    <xf numFmtId="3" fontId="39" fillId="0" borderId="135" xfId="14655" applyNumberFormat="1" applyFont="1" applyFill="1" applyBorder="1" applyAlignment="1">
      <alignment horizontal="center"/>
    </xf>
    <xf numFmtId="3" fontId="39" fillId="51" borderId="33" xfId="14655" applyNumberFormat="1" applyFont="1" applyFill="1" applyBorder="1" applyAlignment="1">
      <alignment horizontal="center"/>
    </xf>
    <xf numFmtId="3" fontId="39" fillId="51" borderId="34" xfId="14655" applyNumberFormat="1" applyFont="1" applyFill="1" applyBorder="1" applyAlignment="1">
      <alignment horizontal="center"/>
    </xf>
    <xf numFmtId="171" fontId="39" fillId="51" borderId="35" xfId="14655" applyNumberFormat="1" applyFont="1" applyFill="1" applyBorder="1" applyAlignment="1">
      <alignment horizontal="center"/>
    </xf>
    <xf numFmtId="0" fontId="324" fillId="0" borderId="0" xfId="14655" applyFont="1" applyFill="1" applyBorder="1" applyAlignment="1">
      <alignment horizontal="center"/>
    </xf>
    <xf numFmtId="3" fontId="39" fillId="0" borderId="0" xfId="14655" applyNumberFormat="1" applyFont="1" applyFill="1" applyBorder="1" applyAlignment="1">
      <alignment horizontal="center"/>
    </xf>
    <xf numFmtId="3" fontId="39" fillId="0" borderId="27" xfId="14655" applyNumberFormat="1" applyFont="1" applyFill="1" applyBorder="1" applyAlignment="1">
      <alignment horizontal="center"/>
    </xf>
    <xf numFmtId="3" fontId="39" fillId="0" borderId="30" xfId="14655" applyNumberFormat="1" applyFont="1" applyFill="1" applyBorder="1" applyAlignment="1">
      <alignment horizontal="center"/>
    </xf>
    <xf numFmtId="3" fontId="39" fillId="0" borderId="31" xfId="14655" applyNumberFormat="1" applyFont="1" applyFill="1" applyBorder="1" applyAlignment="1">
      <alignment horizontal="center"/>
    </xf>
    <xf numFmtId="0" fontId="39" fillId="0" borderId="41" xfId="15" applyFont="1" applyFill="1" applyBorder="1" applyAlignment="1">
      <alignment horizontal="center"/>
    </xf>
    <xf numFmtId="3" fontId="39" fillId="47" borderId="22" xfId="6" applyNumberFormat="1" applyFont="1" applyFill="1" applyBorder="1" applyAlignment="1">
      <alignment horizontal="center"/>
    </xf>
    <xf numFmtId="3" fontId="39" fillId="47" borderId="23" xfId="6" applyNumberFormat="1" applyFont="1" applyFill="1" applyBorder="1" applyAlignment="1">
      <alignment horizontal="center"/>
    </xf>
    <xf numFmtId="171" fontId="324" fillId="0" borderId="0" xfId="14655" applyNumberFormat="1" applyFont="1" applyFill="1" applyBorder="1" applyAlignment="1">
      <alignment horizontal="center"/>
    </xf>
    <xf numFmtId="3" fontId="39" fillId="0" borderId="29" xfId="14655" applyNumberFormat="1" applyFont="1" applyFill="1" applyBorder="1" applyAlignment="1">
      <alignment horizontal="center"/>
    </xf>
    <xf numFmtId="3" fontId="39" fillId="0" borderId="101" xfId="14655" applyNumberFormat="1" applyFont="1" applyFill="1" applyBorder="1" applyAlignment="1">
      <alignment horizontal="center"/>
    </xf>
    <xf numFmtId="3" fontId="39" fillId="0" borderId="22" xfId="14655" quotePrefix="1" applyNumberFormat="1" applyFont="1" applyFill="1" applyBorder="1" applyAlignment="1">
      <alignment horizontal="center"/>
    </xf>
    <xf numFmtId="3" fontId="39" fillId="0" borderId="23" xfId="14655" applyNumberFormat="1" applyFont="1" applyFill="1" applyBorder="1" applyAlignment="1">
      <alignment horizontal="center"/>
    </xf>
    <xf numFmtId="3" fontId="39" fillId="0" borderId="17" xfId="14655" applyNumberFormat="1" applyFont="1" applyFill="1" applyBorder="1" applyAlignment="1">
      <alignment horizontal="center"/>
    </xf>
    <xf numFmtId="3" fontId="326" fillId="47" borderId="34" xfId="14655" applyNumberFormat="1" applyFont="1" applyFill="1" applyBorder="1" applyAlignment="1">
      <alignment horizontal="center"/>
    </xf>
    <xf numFmtId="3" fontId="39" fillId="0" borderId="18" xfId="14655" applyNumberFormat="1" applyFont="1" applyFill="1" applyBorder="1" applyAlignment="1">
      <alignment horizontal="center"/>
    </xf>
    <xf numFmtId="3" fontId="39" fillId="140" borderId="22" xfId="14655" applyNumberFormat="1" applyFont="1" applyFill="1" applyBorder="1" applyAlignment="1">
      <alignment horizontal="center"/>
    </xf>
    <xf numFmtId="3" fontId="39" fillId="140" borderId="23" xfId="14655" applyNumberFormat="1" applyFont="1" applyFill="1" applyBorder="1" applyAlignment="1">
      <alignment horizontal="center"/>
    </xf>
    <xf numFmtId="0" fontId="44" fillId="0" borderId="0" xfId="15" applyFont="1" applyAlignment="1">
      <alignment horizontal="center"/>
    </xf>
    <xf numFmtId="3" fontId="39" fillId="0" borderId="22" xfId="6" quotePrefix="1" applyNumberFormat="1" applyFont="1" applyFill="1" applyBorder="1" applyAlignment="1">
      <alignment horizontal="center"/>
    </xf>
    <xf numFmtId="3" fontId="39" fillId="0" borderId="23" xfId="6" quotePrefix="1" applyNumberFormat="1" applyFont="1" applyFill="1" applyBorder="1" applyAlignment="1">
      <alignment horizontal="center"/>
    </xf>
    <xf numFmtId="171" fontId="326" fillId="47" borderId="32" xfId="14655" applyNumberFormat="1" applyFont="1" applyFill="1" applyBorder="1" applyAlignment="1">
      <alignment horizontal="center"/>
    </xf>
    <xf numFmtId="3" fontId="39" fillId="40" borderId="28" xfId="14655" applyNumberFormat="1" applyFont="1" applyFill="1" applyBorder="1" applyAlignment="1">
      <alignment horizontal="center"/>
    </xf>
    <xf numFmtId="3" fontId="39" fillId="40" borderId="21" xfId="14655" applyNumberFormat="1" applyFont="1" applyFill="1" applyBorder="1" applyAlignment="1">
      <alignment horizontal="center"/>
    </xf>
    <xf numFmtId="3" fontId="39" fillId="40" borderId="30" xfId="14655" applyNumberFormat="1" applyFont="1" applyFill="1" applyBorder="1" applyAlignment="1">
      <alignment horizontal="center"/>
    </xf>
    <xf numFmtId="3" fontId="39" fillId="40" borderId="22" xfId="14655" applyNumberFormat="1" applyFont="1" applyFill="1" applyBorder="1" applyAlignment="1">
      <alignment horizontal="center"/>
    </xf>
    <xf numFmtId="3" fontId="39" fillId="40" borderId="14" xfId="14655" applyNumberFormat="1" applyFont="1" applyFill="1" applyBorder="1" applyAlignment="1">
      <alignment horizontal="center"/>
    </xf>
    <xf numFmtId="3" fontId="39" fillId="40" borderId="15" xfId="14655" applyNumberFormat="1" applyFont="1" applyFill="1" applyBorder="1" applyAlignment="1">
      <alignment horizontal="center"/>
    </xf>
    <xf numFmtId="3" fontId="39" fillId="40" borderId="16" xfId="14655" applyNumberFormat="1" applyFont="1" applyFill="1" applyBorder="1" applyAlignment="1">
      <alignment horizontal="center"/>
    </xf>
    <xf numFmtId="3" fontId="39" fillId="40" borderId="17" xfId="14655" applyNumberFormat="1" applyFont="1" applyFill="1" applyBorder="1" applyAlignment="1">
      <alignment horizontal="center"/>
    </xf>
    <xf numFmtId="3" fontId="39" fillId="40" borderId="22" xfId="14655" quotePrefix="1" applyNumberFormat="1" applyFont="1" applyFill="1" applyBorder="1" applyAlignment="1">
      <alignment horizontal="center"/>
    </xf>
    <xf numFmtId="3" fontId="327" fillId="40" borderId="31" xfId="14655" applyNumberFormat="1" applyFont="1" applyFill="1" applyBorder="1" applyAlignment="1">
      <alignment horizontal="center"/>
    </xf>
    <xf numFmtId="3" fontId="39" fillId="40" borderId="23" xfId="14655" quotePrefix="1" applyNumberFormat="1" applyFont="1" applyFill="1" applyBorder="1" applyAlignment="1">
      <alignment horizontal="center"/>
    </xf>
    <xf numFmtId="3" fontId="327" fillId="40" borderId="34" xfId="14655" applyNumberFormat="1" applyFont="1" applyFill="1" applyBorder="1" applyAlignment="1">
      <alignment horizontal="center"/>
    </xf>
    <xf numFmtId="3" fontId="39" fillId="40" borderId="23" xfId="14655" applyNumberFormat="1" applyFont="1" applyFill="1" applyBorder="1" applyAlignment="1">
      <alignment horizontal="center"/>
    </xf>
    <xf numFmtId="3" fontId="38" fillId="40" borderId="14" xfId="14655" applyNumberFormat="1" applyFont="1" applyFill="1" applyBorder="1" applyAlignment="1">
      <alignment horizontal="center"/>
    </xf>
    <xf numFmtId="3" fontId="38" fillId="40" borderId="18" xfId="14655" applyNumberFormat="1" applyFont="1" applyFill="1" applyBorder="1" applyAlignment="1">
      <alignment horizontal="center"/>
    </xf>
    <xf numFmtId="3" fontId="38" fillId="40" borderId="16" xfId="14655" applyNumberFormat="1" applyFont="1" applyFill="1" applyBorder="1" applyAlignment="1">
      <alignment horizontal="center"/>
    </xf>
    <xf numFmtId="3" fontId="38" fillId="40" borderId="101" xfId="14655" applyNumberFormat="1" applyFont="1" applyFill="1" applyBorder="1" applyAlignment="1">
      <alignment horizontal="center"/>
    </xf>
    <xf numFmtId="3" fontId="326" fillId="51" borderId="31" xfId="14655" applyNumberFormat="1" applyFont="1" applyFill="1" applyBorder="1" applyAlignment="1">
      <alignment horizontal="center"/>
    </xf>
    <xf numFmtId="3" fontId="326" fillId="51" borderId="34" xfId="14655" applyNumberFormat="1" applyFont="1" applyFill="1" applyBorder="1" applyAlignment="1">
      <alignment horizontal="center"/>
    </xf>
    <xf numFmtId="3" fontId="39" fillId="47" borderId="35" xfId="14655" applyNumberFormat="1" applyFont="1" applyFill="1" applyBorder="1" applyAlignment="1">
      <alignment horizontal="center"/>
    </xf>
    <xf numFmtId="3" fontId="38" fillId="47" borderId="15" xfId="14655" applyNumberFormat="1" applyFont="1" applyFill="1" applyBorder="1" applyAlignment="1">
      <alignment horizontal="center"/>
    </xf>
    <xf numFmtId="3" fontId="38" fillId="47" borderId="17" xfId="14655" applyNumberFormat="1" applyFont="1" applyFill="1" applyBorder="1" applyAlignment="1">
      <alignment horizontal="center"/>
    </xf>
    <xf numFmtId="0" fontId="44" fillId="0" borderId="41" xfId="15" applyFont="1" applyBorder="1" applyAlignment="1">
      <alignment horizontal="center"/>
    </xf>
    <xf numFmtId="0" fontId="37" fillId="0" borderId="41" xfId="15" applyFont="1" applyBorder="1" applyAlignment="1">
      <alignment horizontal="center"/>
    </xf>
    <xf numFmtId="3" fontId="38" fillId="0" borderId="15" xfId="14655" applyNumberFormat="1" applyFont="1" applyFill="1" applyBorder="1" applyAlignment="1">
      <alignment horizontal="center"/>
    </xf>
    <xf numFmtId="3" fontId="38" fillId="0" borderId="17" xfId="14655" applyNumberFormat="1" applyFont="1" applyFill="1" applyBorder="1" applyAlignment="1">
      <alignment horizontal="center"/>
    </xf>
    <xf numFmtId="0" fontId="38" fillId="0" borderId="0" xfId="5" applyFont="1" applyFill="1" applyBorder="1" applyAlignment="1">
      <alignment horizontal="center"/>
    </xf>
    <xf numFmtId="4" fontId="38" fillId="0" borderId="0" xfId="5" applyNumberFormat="1" applyFont="1" applyFill="1" applyBorder="1" applyAlignment="1">
      <alignment horizontal="center"/>
    </xf>
    <xf numFmtId="3" fontId="39" fillId="47" borderId="16" xfId="14655" applyNumberFormat="1" applyFont="1" applyFill="1" applyBorder="1" applyAlignment="1">
      <alignment horizontal="center"/>
    </xf>
    <xf numFmtId="3" fontId="39" fillId="47" borderId="17" xfId="14655" applyNumberFormat="1" applyFont="1" applyFill="1" applyBorder="1" applyAlignment="1">
      <alignment horizontal="center"/>
    </xf>
    <xf numFmtId="3" fontId="39" fillId="0" borderId="34" xfId="14655" applyNumberFormat="1" applyFont="1" applyFill="1" applyBorder="1" applyAlignment="1">
      <alignment horizontal="center"/>
    </xf>
    <xf numFmtId="3" fontId="39" fillId="0" borderId="35" xfId="14655" applyNumberFormat="1" applyFont="1" applyFill="1" applyBorder="1" applyAlignment="1">
      <alignment horizontal="center"/>
    </xf>
    <xf numFmtId="3" fontId="327" fillId="47" borderId="21" xfId="14655" applyNumberFormat="1" applyFont="1" applyFill="1" applyBorder="1" applyAlignment="1">
      <alignment horizontal="center"/>
    </xf>
    <xf numFmtId="3" fontId="327" fillId="47" borderId="28" xfId="14655" applyNumberFormat="1" applyFont="1" applyFill="1" applyBorder="1" applyAlignment="1">
      <alignment horizontal="center"/>
    </xf>
    <xf numFmtId="3" fontId="327" fillId="47" borderId="29" xfId="14655" applyNumberFormat="1" applyFont="1" applyFill="1" applyBorder="1" applyAlignment="1">
      <alignment horizontal="center"/>
    </xf>
    <xf numFmtId="3" fontId="327" fillId="47" borderId="22" xfId="14655" applyNumberFormat="1" applyFont="1" applyFill="1" applyBorder="1" applyAlignment="1">
      <alignment horizontal="center"/>
    </xf>
    <xf numFmtId="3" fontId="327" fillId="47" borderId="23" xfId="14655" applyNumberFormat="1" applyFont="1" applyFill="1" applyBorder="1" applyAlignment="1">
      <alignment horizontal="center"/>
    </xf>
    <xf numFmtId="3" fontId="39" fillId="47" borderId="18" xfId="14655" applyNumberFormat="1" applyFont="1" applyFill="1" applyBorder="1" applyAlignment="1">
      <alignment horizontal="center"/>
    </xf>
    <xf numFmtId="3" fontId="39" fillId="47" borderId="101" xfId="14655" applyNumberFormat="1" applyFont="1" applyFill="1" applyBorder="1" applyAlignment="1">
      <alignment horizontal="center"/>
    </xf>
    <xf numFmtId="3" fontId="327" fillId="47" borderId="31" xfId="14655" applyNumberFormat="1" applyFont="1" applyFill="1" applyBorder="1" applyAlignment="1">
      <alignment horizontal="center"/>
    </xf>
    <xf numFmtId="3" fontId="327" fillId="47" borderId="34" xfId="14655" applyNumberFormat="1" applyFont="1" applyFill="1" applyBorder="1" applyAlignment="1">
      <alignment horizontal="center"/>
    </xf>
    <xf numFmtId="171" fontId="327" fillId="47" borderId="32" xfId="14655" applyNumberFormat="1" applyFont="1" applyFill="1" applyBorder="1" applyAlignment="1">
      <alignment horizontal="center"/>
    </xf>
    <xf numFmtId="3" fontId="39" fillId="47" borderId="22" xfId="14655" quotePrefix="1" applyNumberFormat="1" applyFont="1" applyFill="1" applyBorder="1" applyAlignment="1">
      <alignment horizontal="center"/>
    </xf>
    <xf numFmtId="3" fontId="39" fillId="47" borderId="23" xfId="14655" quotePrefix="1" applyNumberFormat="1" applyFont="1" applyFill="1" applyBorder="1" applyAlignment="1">
      <alignment horizontal="center"/>
    </xf>
    <xf numFmtId="0" fontId="44" fillId="0" borderId="0" xfId="15" applyFont="1" applyBorder="1" applyAlignment="1">
      <alignment horizontal="center"/>
    </xf>
    <xf numFmtId="0" fontId="37" fillId="0" borderId="0" xfId="15" applyFont="1" applyBorder="1" applyAlignment="1">
      <alignment horizontal="center"/>
    </xf>
    <xf numFmtId="273" fontId="44" fillId="0" borderId="0" xfId="14654" applyNumberFormat="1" applyFont="1" applyAlignment="1">
      <alignment horizontal="center"/>
    </xf>
    <xf numFmtId="0" fontId="38" fillId="0" borderId="0" xfId="14655" applyFont="1" applyAlignment="1">
      <alignment horizontal="center"/>
    </xf>
    <xf numFmtId="3" fontId="38" fillId="45" borderId="17" xfId="5" applyNumberFormat="1" applyFont="1" applyFill="1" applyBorder="1" applyAlignment="1">
      <alignment horizontal="center" vertical="center" wrapText="1"/>
    </xf>
    <xf numFmtId="3" fontId="44" fillId="0" borderId="24" xfId="15" applyNumberFormat="1" applyFont="1" applyBorder="1" applyAlignment="1">
      <alignment horizontal="center"/>
    </xf>
    <xf numFmtId="3" fontId="39" fillId="51" borderId="35" xfId="14655" applyNumberFormat="1" applyFont="1" applyFill="1" applyBorder="1" applyAlignment="1">
      <alignment horizontal="center"/>
    </xf>
    <xf numFmtId="3" fontId="39" fillId="47" borderId="137" xfId="14655" applyNumberFormat="1" applyFont="1" applyFill="1" applyBorder="1" applyAlignment="1">
      <alignment horizontal="center"/>
    </xf>
    <xf numFmtId="3" fontId="324" fillId="0" borderId="0" xfId="14655" applyNumberFormat="1" applyFont="1" applyFill="1" applyBorder="1" applyAlignment="1">
      <alignment horizontal="center"/>
    </xf>
    <xf numFmtId="3" fontId="44" fillId="0" borderId="0" xfId="15" applyNumberFormat="1" applyFont="1" applyAlignment="1">
      <alignment horizontal="center"/>
    </xf>
    <xf numFmtId="3" fontId="39" fillId="40" borderId="29" xfId="14655" applyNumberFormat="1" applyFont="1" applyFill="1" applyBorder="1" applyAlignment="1">
      <alignment horizontal="center"/>
    </xf>
    <xf numFmtId="3" fontId="39" fillId="40" borderId="32" xfId="14655" applyNumberFormat="1" applyFont="1" applyFill="1" applyBorder="1" applyAlignment="1">
      <alignment horizontal="center"/>
    </xf>
    <xf numFmtId="3" fontId="39" fillId="40" borderId="34" xfId="14655" applyNumberFormat="1" applyFont="1" applyFill="1" applyBorder="1" applyAlignment="1">
      <alignment horizontal="center"/>
    </xf>
    <xf numFmtId="3" fontId="44" fillId="0" borderId="0" xfId="15" applyNumberFormat="1" applyFont="1" applyBorder="1" applyAlignment="1">
      <alignment horizontal="center"/>
    </xf>
    <xf numFmtId="3" fontId="44" fillId="0" borderId="41" xfId="15" applyNumberFormat="1" applyFont="1" applyBorder="1" applyAlignment="1">
      <alignment horizontal="center"/>
    </xf>
    <xf numFmtId="165" fontId="44" fillId="0" borderId="0" xfId="14654" applyFont="1" applyAlignment="1">
      <alignment horizontal="center"/>
    </xf>
    <xf numFmtId="43" fontId="313" fillId="40" borderId="0" xfId="3732" applyFont="1" applyFill="1" applyBorder="1"/>
    <xf numFmtId="0" fontId="39" fillId="0" borderId="25" xfId="14655" applyFont="1" applyFill="1" applyBorder="1" applyAlignment="1">
      <alignment horizontal="left" indent="1"/>
    </xf>
    <xf numFmtId="0" fontId="39" fillId="0" borderId="137" xfId="14655" applyFont="1" applyFill="1" applyBorder="1" applyAlignment="1">
      <alignment horizontal="left" indent="1"/>
    </xf>
    <xf numFmtId="3" fontId="39" fillId="0" borderId="21" xfId="15" applyNumberFormat="1" applyFont="1" applyFill="1" applyBorder="1" applyAlignment="1">
      <alignment horizontal="center"/>
    </xf>
    <xf numFmtId="0" fontId="39" fillId="47" borderId="27" xfId="15" applyFont="1" applyFill="1" applyBorder="1" applyAlignment="1">
      <alignment horizontal="left"/>
    </xf>
    <xf numFmtId="0" fontId="39" fillId="47" borderId="28" xfId="15" applyFont="1" applyFill="1" applyBorder="1" applyAlignment="1">
      <alignment horizontal="left"/>
    </xf>
    <xf numFmtId="3" fontId="39" fillId="47" borderId="30" xfId="14655" applyNumberFormat="1" applyFont="1" applyFill="1" applyBorder="1" applyAlignment="1"/>
    <xf numFmtId="3" fontId="39" fillId="47" borderId="31" xfId="14655" applyNumberFormat="1" applyFont="1" applyFill="1" applyBorder="1" applyAlignment="1"/>
    <xf numFmtId="3" fontId="326" fillId="47" borderId="31" xfId="14655" applyNumberFormat="1" applyFont="1" applyFill="1" applyBorder="1" applyAlignment="1"/>
    <xf numFmtId="3" fontId="326" fillId="47" borderId="32" xfId="14655" applyNumberFormat="1" applyFont="1" applyFill="1" applyBorder="1" applyAlignment="1"/>
    <xf numFmtId="3" fontId="39" fillId="47" borderId="33" xfId="14655" applyNumberFormat="1" applyFont="1" applyFill="1" applyBorder="1" applyAlignment="1"/>
    <xf numFmtId="3" fontId="39" fillId="47" borderId="34" xfId="14655" applyNumberFormat="1" applyFont="1" applyFill="1" applyBorder="1" applyAlignment="1"/>
    <xf numFmtId="3" fontId="326" fillId="47" borderId="34" xfId="14655" applyNumberFormat="1" applyFont="1" applyFill="1" applyBorder="1" applyAlignment="1"/>
    <xf numFmtId="3" fontId="326" fillId="47" borderId="35" xfId="14655" applyNumberFormat="1" applyFont="1" applyFill="1" applyBorder="1" applyAlignment="1"/>
    <xf numFmtId="178" fontId="39" fillId="0" borderId="0" xfId="14654" applyNumberFormat="1" applyFont="1"/>
    <xf numFmtId="3" fontId="39" fillId="0" borderId="0" xfId="5" applyNumberFormat="1" applyFont="1" applyFill="1"/>
    <xf numFmtId="9" fontId="46" fillId="0" borderId="0" xfId="1" applyFont="1" applyAlignment="1"/>
    <xf numFmtId="9" fontId="39" fillId="0" borderId="0" xfId="1" applyFont="1" applyFill="1" applyAlignment="1"/>
    <xf numFmtId="9" fontId="39" fillId="0" borderId="0" xfId="1" applyFont="1" applyAlignment="1"/>
    <xf numFmtId="274" fontId="334" fillId="0" borderId="0" xfId="14654" applyNumberFormat="1" applyFont="1" applyFill="1" applyBorder="1" applyAlignment="1">
      <alignment vertical="center"/>
    </xf>
    <xf numFmtId="275" fontId="334" fillId="0" borderId="0" xfId="6" applyNumberFormat="1" applyFont="1" applyFill="1" applyBorder="1" applyAlignment="1">
      <alignment vertical="center"/>
    </xf>
    <xf numFmtId="3" fontId="334" fillId="0" borderId="0" xfId="6" applyNumberFormat="1" applyFont="1" applyFill="1" applyBorder="1" applyAlignment="1">
      <alignment vertical="center"/>
    </xf>
    <xf numFmtId="3" fontId="342" fillId="0" borderId="29" xfId="0" applyNumberFormat="1" applyFont="1" applyFill="1" applyBorder="1" applyAlignment="1"/>
    <xf numFmtId="3" fontId="342" fillId="0" borderId="32" xfId="0" applyNumberFormat="1" applyFont="1" applyFill="1" applyBorder="1" applyAlignment="1"/>
    <xf numFmtId="3" fontId="342" fillId="0" borderId="32" xfId="6" applyNumberFormat="1" applyFont="1" applyFill="1" applyBorder="1" applyAlignment="1"/>
    <xf numFmtId="3" fontId="342" fillId="0" borderId="29" xfId="6" applyNumberFormat="1" applyFont="1" applyFill="1" applyBorder="1" applyAlignment="1"/>
    <xf numFmtId="3" fontId="334" fillId="0" borderId="32" xfId="6" applyNumberFormat="1" applyFont="1" applyFill="1" applyBorder="1" applyAlignment="1"/>
    <xf numFmtId="10" fontId="349" fillId="0" borderId="29" xfId="12" applyNumberFormat="1" applyFont="1" applyFill="1" applyBorder="1" applyAlignment="1">
      <alignment horizontal="right" vertical="center"/>
    </xf>
    <xf numFmtId="3" fontId="46" fillId="0" borderId="0" xfId="0" applyNumberFormat="1" applyFont="1" applyFill="1" applyBorder="1" applyAlignment="1"/>
    <xf numFmtId="10" fontId="342" fillId="0" borderId="35" xfId="12" applyNumberFormat="1" applyFont="1" applyFill="1" applyBorder="1" applyAlignment="1">
      <alignment horizontal="right" vertical="center"/>
    </xf>
    <xf numFmtId="3" fontId="342" fillId="0" borderId="35" xfId="6" applyNumberFormat="1" applyFont="1" applyFill="1" applyBorder="1" applyAlignment="1"/>
    <xf numFmtId="3" fontId="348" fillId="0" borderId="32" xfId="6" applyNumberFormat="1" applyFont="1" applyFill="1" applyBorder="1" applyAlignment="1"/>
    <xf numFmtId="3" fontId="349" fillId="41" borderId="29" xfId="6" applyNumberFormat="1" applyFont="1" applyFill="1" applyBorder="1" applyAlignment="1"/>
    <xf numFmtId="3" fontId="349" fillId="41" borderId="32" xfId="6" applyNumberFormat="1" applyFont="1" applyFill="1" applyBorder="1" applyAlignment="1"/>
    <xf numFmtId="3" fontId="334" fillId="0" borderId="0" xfId="0" applyNumberFormat="1" applyFont="1" applyFill="1" applyBorder="1" applyAlignment="1"/>
    <xf numFmtId="9" fontId="349" fillId="0" borderId="0" xfId="1" applyFont="1" applyBorder="1" applyAlignment="1">
      <alignment horizontal="left" indent="1"/>
    </xf>
    <xf numFmtId="3" fontId="349" fillId="0" borderId="37" xfId="6" applyNumberFormat="1" applyFont="1" applyFill="1" applyBorder="1" applyAlignment="1"/>
    <xf numFmtId="3" fontId="349" fillId="0" borderId="38" xfId="6" applyNumberFormat="1" applyFont="1" applyFill="1" applyBorder="1" applyAlignment="1"/>
    <xf numFmtId="10" fontId="342" fillId="0" borderId="38" xfId="12" applyNumberFormat="1" applyFont="1" applyFill="1" applyBorder="1" applyAlignment="1">
      <alignment horizontal="right" vertical="center"/>
    </xf>
    <xf numFmtId="10" fontId="342" fillId="0" borderId="32" xfId="12" applyNumberFormat="1" applyFont="1" applyFill="1" applyBorder="1" applyAlignment="1">
      <alignment horizontal="right" vertical="center"/>
    </xf>
    <xf numFmtId="171" fontId="309" fillId="143" borderId="16" xfId="5" applyNumberFormat="1" applyFont="1" applyFill="1" applyBorder="1"/>
    <xf numFmtId="264" fontId="309" fillId="143" borderId="31" xfId="14654" applyNumberFormat="1" applyFont="1" applyFill="1" applyBorder="1"/>
    <xf numFmtId="264" fontId="309" fillId="143" borderId="34" xfId="14654" applyNumberFormat="1" applyFont="1" applyFill="1" applyBorder="1"/>
    <xf numFmtId="264" fontId="309" fillId="143" borderId="35" xfId="14654" applyNumberFormat="1" applyFont="1" applyFill="1" applyBorder="1"/>
    <xf numFmtId="3" fontId="39" fillId="143" borderId="22" xfId="14655" applyNumberFormat="1" applyFont="1" applyFill="1" applyBorder="1" applyAlignment="1">
      <alignment horizontal="center"/>
    </xf>
    <xf numFmtId="3" fontId="39" fillId="143" borderId="31" xfId="14655" applyNumberFormat="1" applyFont="1" applyFill="1" applyBorder="1" applyAlignment="1">
      <alignment horizontal="center"/>
    </xf>
    <xf numFmtId="3" fontId="39" fillId="143" borderId="32" xfId="14655" applyNumberFormat="1" applyFont="1" applyFill="1" applyBorder="1" applyAlignment="1">
      <alignment horizontal="center"/>
    </xf>
    <xf numFmtId="3" fontId="327" fillId="143" borderId="31" xfId="14655" applyNumberFormat="1" applyFont="1" applyFill="1" applyBorder="1" applyAlignment="1">
      <alignment horizontal="center"/>
    </xf>
    <xf numFmtId="3" fontId="327" fillId="143" borderId="32" xfId="14655" applyNumberFormat="1" applyFont="1" applyFill="1" applyBorder="1" applyAlignment="1">
      <alignment horizontal="center"/>
    </xf>
    <xf numFmtId="3" fontId="39" fillId="143" borderId="22" xfId="14655" quotePrefix="1" applyNumberFormat="1" applyFont="1" applyFill="1" applyBorder="1" applyAlignment="1">
      <alignment horizontal="center"/>
    </xf>
    <xf numFmtId="3" fontId="39" fillId="143" borderId="21" xfId="14655" applyNumberFormat="1" applyFont="1" applyFill="1" applyBorder="1" applyAlignment="1">
      <alignment horizontal="center"/>
    </xf>
    <xf numFmtId="4" fontId="39" fillId="143" borderId="26" xfId="5" applyNumberFormat="1" applyFont="1" applyFill="1" applyBorder="1" applyAlignment="1">
      <alignment vertical="center"/>
    </xf>
    <xf numFmtId="3" fontId="44" fillId="143" borderId="36" xfId="15" applyNumberFormat="1" applyFont="1" applyFill="1" applyBorder="1" applyAlignment="1">
      <alignment vertical="center"/>
    </xf>
    <xf numFmtId="4" fontId="39" fillId="143" borderId="25" xfId="5" applyNumberFormat="1" applyFont="1" applyFill="1" applyBorder="1" applyAlignment="1">
      <alignment vertical="center"/>
    </xf>
    <xf numFmtId="4" fontId="38" fillId="143" borderId="10" xfId="5" applyNumberFormat="1" applyFont="1" applyFill="1" applyBorder="1" applyAlignment="1">
      <alignment vertical="center"/>
    </xf>
    <xf numFmtId="4" fontId="39" fillId="143" borderId="137" xfId="5" applyNumberFormat="1" applyFont="1" applyFill="1" applyBorder="1" applyAlignment="1">
      <alignment vertical="center"/>
    </xf>
    <xf numFmtId="43" fontId="49" fillId="143" borderId="138" xfId="3732" applyFont="1" applyFill="1" applyBorder="1" applyAlignment="1">
      <alignment vertical="center"/>
    </xf>
    <xf numFmtId="4" fontId="39" fillId="143" borderId="26" xfId="5" applyNumberFormat="1" applyFont="1" applyFill="1" applyBorder="1"/>
    <xf numFmtId="3" fontId="44" fillId="143" borderId="41" xfId="15" applyNumberFormat="1" applyFont="1" applyFill="1" applyBorder="1"/>
    <xf numFmtId="3" fontId="44" fillId="143" borderId="36" xfId="15" applyNumberFormat="1" applyFont="1" applyFill="1" applyBorder="1"/>
    <xf numFmtId="4" fontId="39" fillId="143" borderId="137" xfId="5" applyNumberFormat="1" applyFont="1" applyFill="1" applyBorder="1"/>
    <xf numFmtId="4" fontId="38" fillId="143" borderId="136" xfId="5" applyNumberFormat="1" applyFont="1" applyFill="1" applyBorder="1"/>
    <xf numFmtId="0" fontId="325" fillId="143" borderId="138" xfId="0" applyFont="1" applyFill="1" applyBorder="1"/>
    <xf numFmtId="0" fontId="44" fillId="143" borderId="0" xfId="15" applyFont="1" applyFill="1"/>
    <xf numFmtId="3" fontId="38" fillId="143" borderId="14" xfId="14655" applyNumberFormat="1" applyFont="1" applyFill="1" applyBorder="1" applyAlignment="1">
      <alignment horizontal="center"/>
    </xf>
    <xf numFmtId="266" fontId="314" fillId="143" borderId="0" xfId="0" applyNumberFormat="1" applyFont="1" applyFill="1"/>
    <xf numFmtId="10" fontId="46" fillId="0" borderId="0" xfId="1" applyNumberFormat="1" applyFont="1" applyFill="1" applyBorder="1" applyAlignment="1">
      <alignment vertical="center"/>
    </xf>
    <xf numFmtId="3" fontId="0" fillId="0" borderId="0" xfId="0" applyNumberFormat="1"/>
    <xf numFmtId="3" fontId="335" fillId="0" borderId="106" xfId="0" applyNumberFormat="1" applyFont="1" applyBorder="1" applyAlignment="1">
      <alignment horizontal="center" vertical="center"/>
    </xf>
    <xf numFmtId="178" fontId="308" fillId="0" borderId="0" xfId="14654" applyNumberFormat="1" applyFont="1"/>
    <xf numFmtId="4" fontId="49" fillId="144" borderId="0" xfId="5" applyNumberFormat="1" applyFont="1" applyFill="1" applyBorder="1"/>
    <xf numFmtId="0" fontId="49" fillId="0" borderId="0" xfId="5" applyFont="1" applyAlignment="1">
      <alignment horizontal="center"/>
    </xf>
    <xf numFmtId="0" fontId="309" fillId="0" borderId="0" xfId="5" applyFont="1" applyAlignment="1">
      <alignment horizontal="right"/>
    </xf>
    <xf numFmtId="0" fontId="309" fillId="0" borderId="0" xfId="5" quotePrefix="1" applyFont="1"/>
    <xf numFmtId="0" fontId="309" fillId="0" borderId="0" xfId="5" quotePrefix="1" applyFont="1" applyAlignment="1">
      <alignment horizontal="right"/>
    </xf>
    <xf numFmtId="0" fontId="308" fillId="0" borderId="142" xfId="0" applyFont="1" applyBorder="1" applyAlignment="1">
      <alignment horizontal="left"/>
    </xf>
    <xf numFmtId="3" fontId="309" fillId="0" borderId="143" xfId="5" applyNumberFormat="1" applyFont="1" applyBorder="1"/>
    <xf numFmtId="0" fontId="308" fillId="0" borderId="144" xfId="0" quotePrefix="1" applyFont="1" applyBorder="1" applyAlignment="1">
      <alignment horizontal="left"/>
    </xf>
    <xf numFmtId="3" fontId="309" fillId="0" borderId="145" xfId="5" applyNumberFormat="1" applyFont="1" applyBorder="1"/>
    <xf numFmtId="0" fontId="308" fillId="0" borderId="146" xfId="0" applyFont="1" applyBorder="1" applyAlignment="1">
      <alignment horizontal="left"/>
    </xf>
    <xf numFmtId="3" fontId="309" fillId="0" borderId="0" xfId="5" applyNumberFormat="1" applyFont="1"/>
    <xf numFmtId="0" fontId="309" fillId="0" borderId="148" xfId="5" applyFont="1" applyBorder="1"/>
    <xf numFmtId="3" fontId="309" fillId="0" borderId="149" xfId="5" applyNumberFormat="1" applyFont="1" applyBorder="1"/>
    <xf numFmtId="3" fontId="309" fillId="0" borderId="0" xfId="5" applyNumberFormat="1" applyFont="1" applyAlignment="1">
      <alignment horizontal="left"/>
    </xf>
    <xf numFmtId="3" fontId="309" fillId="0" borderId="147" xfId="5" applyNumberFormat="1" applyFont="1" applyFill="1" applyBorder="1"/>
    <xf numFmtId="4" fontId="309" fillId="0" borderId="0" xfId="5" applyNumberFormat="1" applyFont="1"/>
    <xf numFmtId="0" fontId="368" fillId="0" borderId="0" xfId="14912" applyFont="1" applyFill="1" applyBorder="1" applyAlignment="1">
      <alignment vertical="center"/>
    </xf>
    <xf numFmtId="0" fontId="26" fillId="42" borderId="14" xfId="5" applyFont="1" applyFill="1" applyBorder="1" applyAlignment="1">
      <alignment horizontal="center" vertical="center"/>
    </xf>
    <xf numFmtId="0" fontId="27" fillId="43" borderId="0" xfId="6467" applyFont="1" applyFill="1" applyAlignment="1">
      <alignment horizontal="center" vertical="center"/>
    </xf>
    <xf numFmtId="0" fontId="23" fillId="40" borderId="0" xfId="4" applyFont="1" applyFill="1" applyAlignment="1">
      <alignment horizontal="center" vertical="center"/>
    </xf>
    <xf numFmtId="0" fontId="26" fillId="44" borderId="20" xfId="5" applyFont="1" applyFill="1" applyBorder="1" applyAlignment="1">
      <alignment horizontal="center" vertical="center"/>
    </xf>
    <xf numFmtId="0" fontId="26" fillId="44" borderId="24" xfId="5" applyFont="1" applyFill="1" applyBorder="1" applyAlignment="1">
      <alignment horizontal="center" vertical="center"/>
    </xf>
    <xf numFmtId="0" fontId="26" fillId="44" borderId="19" xfId="5" applyFont="1" applyFill="1" applyBorder="1" applyAlignment="1">
      <alignment horizontal="center" vertical="center"/>
    </xf>
    <xf numFmtId="0" fontId="27" fillId="43" borderId="14" xfId="4" applyFont="1" applyFill="1" applyBorder="1" applyAlignment="1">
      <alignment horizontal="center"/>
    </xf>
    <xf numFmtId="0" fontId="26" fillId="49" borderId="20" xfId="5" applyFont="1" applyFill="1" applyBorder="1" applyAlignment="1">
      <alignment horizontal="center"/>
    </xf>
    <xf numFmtId="0" fontId="26" fillId="49" borderId="24" xfId="5" applyFont="1" applyFill="1" applyBorder="1" applyAlignment="1">
      <alignment horizontal="center"/>
    </xf>
    <xf numFmtId="0" fontId="26" fillId="42" borderId="20" xfId="5" applyFont="1" applyFill="1" applyBorder="1" applyAlignment="1">
      <alignment horizontal="center" vertical="center"/>
    </xf>
    <xf numFmtId="0" fontId="26" fillId="42" borderId="24" xfId="5" applyFont="1" applyFill="1" applyBorder="1" applyAlignment="1">
      <alignment horizontal="center" vertical="center"/>
    </xf>
    <xf numFmtId="0" fontId="26" fillId="42" borderId="19" xfId="5" applyFont="1" applyFill="1" applyBorder="1" applyAlignment="1">
      <alignment horizontal="center" vertical="center"/>
    </xf>
    <xf numFmtId="0" fontId="24" fillId="39" borderId="0" xfId="4" applyFont="1" applyFill="1" applyAlignment="1">
      <alignment horizontal="center" vertical="center"/>
    </xf>
    <xf numFmtId="0" fontId="19" fillId="33" borderId="0" xfId="4" applyFont="1" applyFill="1" applyAlignment="1">
      <alignment horizontal="center" vertical="center"/>
    </xf>
    <xf numFmtId="0" fontId="22" fillId="35" borderId="0" xfId="4" applyFont="1" applyFill="1" applyAlignment="1">
      <alignment horizontal="center" vertical="center"/>
    </xf>
    <xf numFmtId="0" fontId="23" fillId="37" borderId="0" xfId="4" applyFont="1" applyFill="1" applyAlignment="1">
      <alignment horizontal="center" vertical="center"/>
    </xf>
    <xf numFmtId="0" fontId="24" fillId="38" borderId="0" xfId="4" applyFont="1" applyFill="1" applyAlignment="1">
      <alignment horizontal="center" vertical="center"/>
    </xf>
    <xf numFmtId="0" fontId="361" fillId="40" borderId="0" xfId="14907" applyFont="1" applyFill="1" applyAlignment="1" applyProtection="1">
      <alignment horizontal="center"/>
    </xf>
    <xf numFmtId="0" fontId="40" fillId="33" borderId="20" xfId="5" applyFont="1" applyFill="1" applyBorder="1" applyAlignment="1">
      <alignment horizontal="center" vertical="center"/>
    </xf>
    <xf numFmtId="0" fontId="40" fillId="33" borderId="24" xfId="5" applyFont="1" applyFill="1" applyBorder="1" applyAlignment="1">
      <alignment horizontal="center" vertical="center"/>
    </xf>
    <xf numFmtId="0" fontId="40" fillId="33" borderId="19" xfId="5" applyFont="1" applyFill="1" applyBorder="1" applyAlignment="1">
      <alignment horizontal="center" vertical="center"/>
    </xf>
    <xf numFmtId="0" fontId="40" fillId="49" borderId="20" xfId="5" applyFont="1" applyFill="1" applyBorder="1" applyAlignment="1">
      <alignment horizontal="center" vertical="center"/>
    </xf>
    <xf numFmtId="0" fontId="40" fillId="49" borderId="24" xfId="5" applyFont="1" applyFill="1" applyBorder="1" applyAlignment="1">
      <alignment horizontal="center" vertical="center"/>
    </xf>
    <xf numFmtId="0" fontId="40" fillId="49" borderId="19" xfId="5" applyFont="1" applyFill="1" applyBorder="1" applyAlignment="1">
      <alignment horizontal="center" vertical="center"/>
    </xf>
    <xf numFmtId="0" fontId="325" fillId="40" borderId="20" xfId="0" applyFont="1" applyFill="1" applyBorder="1" applyAlignment="1">
      <alignment horizontal="left"/>
    </xf>
    <xf numFmtId="0" fontId="325" fillId="40" borderId="19" xfId="0" applyFont="1" applyFill="1" applyBorder="1" applyAlignment="1">
      <alignment horizontal="left"/>
    </xf>
    <xf numFmtId="0" fontId="40" fillId="42" borderId="20" xfId="5" applyFont="1" applyFill="1" applyBorder="1" applyAlignment="1">
      <alignment horizontal="center" vertical="center"/>
    </xf>
    <xf numFmtId="0" fontId="40" fillId="42" borderId="24" xfId="5" applyFont="1" applyFill="1" applyBorder="1" applyAlignment="1">
      <alignment horizontal="center" vertical="center"/>
    </xf>
    <xf numFmtId="0" fontId="40" fillId="42" borderId="19" xfId="5" applyFont="1" applyFill="1" applyBorder="1" applyAlignment="1">
      <alignment horizontal="center" vertical="center"/>
    </xf>
    <xf numFmtId="0" fontId="49" fillId="0" borderId="0" xfId="5" applyFont="1" applyAlignment="1">
      <alignment horizontal="center"/>
    </xf>
    <xf numFmtId="0" fontId="49" fillId="49" borderId="24" xfId="5" applyFont="1" applyFill="1" applyBorder="1" applyAlignment="1">
      <alignment horizontal="center"/>
    </xf>
    <xf numFmtId="0" fontId="49" fillId="49" borderId="19" xfId="5" applyFont="1" applyFill="1" applyBorder="1" applyAlignment="1">
      <alignment horizontal="center"/>
    </xf>
    <xf numFmtId="0" fontId="49" fillId="45" borderId="20" xfId="5" applyFont="1" applyFill="1" applyBorder="1" applyAlignment="1">
      <alignment horizontal="center" vertical="center" wrapText="1"/>
    </xf>
    <xf numFmtId="0" fontId="49" fillId="45" borderId="19" xfId="5" applyFont="1" applyFill="1" applyBorder="1" applyAlignment="1">
      <alignment horizontal="center" vertical="center" wrapText="1"/>
    </xf>
    <xf numFmtId="0" fontId="309" fillId="0" borderId="105" xfId="5" applyFont="1" applyBorder="1" applyAlignment="1">
      <alignment horizontal="right" vertical="top"/>
    </xf>
    <xf numFmtId="0" fontId="0" fillId="0" borderId="105" xfId="0" applyBorder="1" applyAlignment="1">
      <alignment horizontal="right" vertical="top"/>
    </xf>
    <xf numFmtId="0" fontId="308" fillId="0" borderId="142" xfId="0" applyFont="1" applyBorder="1" applyAlignment="1">
      <alignment wrapText="1"/>
    </xf>
    <xf numFmtId="0" fontId="0" fillId="0" borderId="144" xfId="0" applyBorder="1" applyAlignment="1">
      <alignment wrapText="1"/>
    </xf>
    <xf numFmtId="3" fontId="309" fillId="0" borderId="143" xfId="5" applyNumberFormat="1" applyFont="1" applyFill="1" applyBorder="1" applyAlignment="1">
      <alignment vertical="top" wrapText="1"/>
    </xf>
    <xf numFmtId="0" fontId="0" fillId="0" borderId="145" xfId="0" applyFill="1" applyBorder="1" applyAlignment="1">
      <alignment vertical="top" wrapText="1"/>
    </xf>
    <xf numFmtId="0" fontId="38" fillId="0" borderId="0" xfId="14655" applyFont="1" applyAlignment="1">
      <alignment horizontal="center"/>
    </xf>
    <xf numFmtId="0" fontId="362" fillId="40" borderId="25" xfId="0" applyFont="1" applyFill="1" applyBorder="1" applyAlignment="1">
      <alignment horizontal="right" vertical="center"/>
    </xf>
    <xf numFmtId="0" fontId="362" fillId="40" borderId="0" xfId="0" applyFont="1" applyFill="1" applyBorder="1" applyAlignment="1">
      <alignment horizontal="right" vertical="center"/>
    </xf>
    <xf numFmtId="0" fontId="362" fillId="40" borderId="40" xfId="0" applyFont="1" applyFill="1" applyBorder="1" applyAlignment="1">
      <alignment horizontal="right" vertical="center"/>
    </xf>
    <xf numFmtId="0" fontId="362" fillId="40" borderId="10" xfId="0" applyFont="1" applyFill="1" applyBorder="1" applyAlignment="1">
      <alignment horizontal="right" vertical="center"/>
    </xf>
    <xf numFmtId="0" fontId="363" fillId="40" borderId="15" xfId="0" applyFont="1" applyFill="1" applyBorder="1" applyAlignment="1">
      <alignment horizontal="left" vertical="center"/>
    </xf>
    <xf numFmtId="0" fontId="363" fillId="40" borderId="101" xfId="0" applyFont="1" applyFill="1" applyBorder="1" applyAlignment="1">
      <alignment horizontal="left" vertical="center"/>
    </xf>
    <xf numFmtId="0" fontId="365" fillId="40" borderId="15" xfId="0" applyFont="1" applyFill="1" applyBorder="1" applyAlignment="1">
      <alignment horizontal="right" vertical="center"/>
    </xf>
    <xf numFmtId="0" fontId="365" fillId="40" borderId="16" xfId="0" applyFont="1" applyFill="1" applyBorder="1" applyAlignment="1">
      <alignment horizontal="right" vertical="center"/>
    </xf>
    <xf numFmtId="0" fontId="365" fillId="40" borderId="17" xfId="0" applyFont="1" applyFill="1" applyBorder="1" applyAlignment="1">
      <alignment horizontal="right" vertical="center"/>
    </xf>
    <xf numFmtId="0" fontId="363" fillId="40" borderId="15" xfId="0" applyFont="1" applyFill="1" applyBorder="1" applyAlignment="1">
      <alignment horizontal="right" vertical="center"/>
    </xf>
    <xf numFmtId="0" fontId="363" fillId="40" borderId="16" xfId="0" applyFont="1" applyFill="1" applyBorder="1" applyAlignment="1">
      <alignment horizontal="right" vertical="center"/>
    </xf>
    <xf numFmtId="3" fontId="361" fillId="40" borderId="16" xfId="0" applyNumberFormat="1" applyFont="1" applyFill="1" applyBorder="1" applyAlignment="1">
      <alignment horizontal="right" vertical="center"/>
    </xf>
    <xf numFmtId="0" fontId="361" fillId="40" borderId="17" xfId="0" applyFont="1" applyFill="1" applyBorder="1" applyAlignment="1">
      <alignment horizontal="right" vertical="center"/>
    </xf>
    <xf numFmtId="3" fontId="362" fillId="40" borderId="40" xfId="0" applyNumberFormat="1" applyFont="1" applyFill="1" applyBorder="1" applyAlignment="1">
      <alignment horizontal="right" vertical="center"/>
    </xf>
    <xf numFmtId="0" fontId="363" fillId="41" borderId="28" xfId="0" applyFont="1" applyFill="1" applyBorder="1" applyAlignment="1">
      <alignment horizontal="center" vertical="center" wrapText="1"/>
    </xf>
    <xf numFmtId="0" fontId="363" fillId="41" borderId="29" xfId="0" applyFont="1" applyFill="1" applyBorder="1" applyAlignment="1">
      <alignment horizontal="center" vertical="center" wrapText="1"/>
    </xf>
    <xf numFmtId="0" fontId="363" fillId="41" borderId="34" xfId="0" applyFont="1" applyFill="1" applyBorder="1" applyAlignment="1">
      <alignment horizontal="center" vertical="center" wrapText="1"/>
    </xf>
    <xf numFmtId="0" fontId="363" fillId="41" borderId="140" xfId="0" applyFont="1" applyFill="1" applyBorder="1" applyAlignment="1">
      <alignment horizontal="center" vertical="center" wrapText="1"/>
    </xf>
    <xf numFmtId="0" fontId="363" fillId="41" borderId="19" xfId="0" applyFont="1" applyFill="1" applyBorder="1" applyAlignment="1">
      <alignment horizontal="center" vertical="center"/>
    </xf>
    <xf numFmtId="0" fontId="363" fillId="41" borderId="14" xfId="0" applyFont="1" applyFill="1" applyBorder="1" applyAlignment="1">
      <alignment horizontal="center" vertical="center"/>
    </xf>
    <xf numFmtId="0" fontId="328" fillId="41" borderId="14" xfId="0" applyFont="1" applyFill="1" applyBorder="1" applyAlignment="1">
      <alignment horizontal="center" vertical="center"/>
    </xf>
    <xf numFmtId="0" fontId="362" fillId="40" borderId="26" xfId="0" applyFont="1" applyFill="1" applyBorder="1" applyAlignment="1">
      <alignment horizontal="right" vertical="center"/>
    </xf>
    <xf numFmtId="0" fontId="362" fillId="40" borderId="41" xfId="0" applyFont="1" applyFill="1" applyBorder="1" applyAlignment="1">
      <alignment horizontal="right" vertical="center"/>
    </xf>
    <xf numFmtId="0" fontId="38" fillId="40" borderId="0" xfId="14655" applyFont="1" applyFill="1" applyAlignment="1">
      <alignment horizontal="center"/>
    </xf>
    <xf numFmtId="0" fontId="363" fillId="41" borderId="27" xfId="0" applyFont="1" applyFill="1" applyBorder="1" applyAlignment="1">
      <alignment horizontal="center" vertical="center" wrapText="1"/>
    </xf>
    <xf numFmtId="0" fontId="363" fillId="41" borderId="30" xfId="0" applyFont="1" applyFill="1" applyBorder="1" applyAlignment="1">
      <alignment horizontal="center" vertical="center" wrapText="1"/>
    </xf>
    <xf numFmtId="0" fontId="363" fillId="41" borderId="139" xfId="0" applyFont="1" applyFill="1" applyBorder="1" applyAlignment="1">
      <alignment horizontal="center" vertical="center" wrapText="1"/>
    </xf>
    <xf numFmtId="0" fontId="363" fillId="41" borderId="40" xfId="0" applyFont="1" applyFill="1" applyBorder="1" applyAlignment="1">
      <alignment horizontal="center" vertical="center" wrapText="1"/>
    </xf>
    <xf numFmtId="0" fontId="363" fillId="41" borderId="20" xfId="0" applyFont="1" applyFill="1" applyBorder="1" applyAlignment="1">
      <alignment horizontal="center" vertical="center" wrapText="1"/>
    </xf>
    <xf numFmtId="0" fontId="363" fillId="41" borderId="19" xfId="0" applyFont="1" applyFill="1" applyBorder="1" applyAlignment="1">
      <alignment horizontal="center" vertical="center" wrapText="1"/>
    </xf>
    <xf numFmtId="0" fontId="363" fillId="41" borderId="24" xfId="0" applyFont="1" applyFill="1" applyBorder="1" applyAlignment="1">
      <alignment horizontal="center" vertical="center" wrapText="1"/>
    </xf>
    <xf numFmtId="0" fontId="363" fillId="41" borderId="14" xfId="0" applyFont="1" applyFill="1" applyBorder="1" applyAlignment="1">
      <alignment horizontal="center" vertical="center" wrapText="1"/>
    </xf>
    <xf numFmtId="0" fontId="363" fillId="41" borderId="20" xfId="0" applyFont="1" applyFill="1" applyBorder="1" applyAlignment="1">
      <alignment horizontal="center" vertical="center"/>
    </xf>
    <xf numFmtId="0" fontId="363" fillId="41" borderId="24" xfId="0" applyFont="1" applyFill="1" applyBorder="1" applyAlignment="1">
      <alignment horizontal="center" vertical="center"/>
    </xf>
    <xf numFmtId="0" fontId="363" fillId="41" borderId="33" xfId="0" applyFont="1" applyFill="1" applyBorder="1" applyAlignment="1">
      <alignment horizontal="center" vertical="center" wrapText="1"/>
    </xf>
    <xf numFmtId="3" fontId="362" fillId="40" borderId="139" xfId="0" applyNumberFormat="1" applyFont="1" applyFill="1" applyBorder="1" applyAlignment="1">
      <alignment horizontal="right" vertical="center"/>
    </xf>
    <xf numFmtId="0" fontId="362" fillId="40" borderId="36" xfId="0" applyFont="1" applyFill="1" applyBorder="1" applyAlignment="1">
      <alignment horizontal="right" vertical="center"/>
    </xf>
  </cellXfs>
  <cellStyles count="14913">
    <cellStyle name="------    blanc" xfId="21" xr:uid="{00000000-0005-0000-0000-000000000000}"/>
    <cellStyle name="$1000s (0)" xfId="22" xr:uid="{00000000-0005-0000-0000-000001000000}"/>
    <cellStyle name="%??O%??P%??Q%??R%??S%??T%??U%??V%??W%??X%??Y%??Z%??[%??\%??]%??^%??_%??`%??a%?" xfId="23" xr:uid="{00000000-0005-0000-0000-000002000000}"/>
    <cellStyle name="%_2DP_in" xfId="24" xr:uid="{00000000-0005-0000-0000-000003000000}"/>
    <cellStyle name="%_2DP_out" xfId="25" xr:uid="{00000000-0005-0000-0000-000004000000}"/>
    <cellStyle name="?_x0002_nt?_x0002_ie?_x0002_de?_x0002_ b?_x0002_ch?_x0002_d ?_x0002_re?_x0002_ k?_x0002_we?_x0002_d_x0003_?_x0002_d_x000e_?_x0002_ _x0008_?_x0002__x000e_ ?_x0002_ ‡?_x0002_i`?_x0003_N_x0013_e?_x0003_'|'?_x0002_ve?_x0002_le?_x0002_s ?_x0002_i%?_x0005_größe?_x0002_ a?_x0002_he?_x0002_on?_x0002_rt?_x0002_at?_x0002_e" xfId="26" xr:uid="{00000000-0005-0000-0000-000005000000}"/>
    <cellStyle name="_03 - Synthèse P.207 - format MIOMCTI" xfId="27" xr:uid="{00000000-0005-0000-0000-000006000000}"/>
    <cellStyle name="_1.Fichier de synthèse missions - version brute 10-11-12" xfId="28" xr:uid="{00000000-0005-0000-0000-000007000000}"/>
    <cellStyle name="_1-tendanciel CP" xfId="29" xr:uid="{00000000-0005-0000-0000-000008000000}"/>
    <cellStyle name="_1-tendanciel CP_7BAED_BG_IAI_PMT 23-03 VD" xfId="30" xr:uid="{00000000-0005-0000-0000-000009000000}"/>
    <cellStyle name="_2011-03-31 8BCJS_CULTURE_RETOUR_recalé_cas" xfId="31" xr:uid="{00000000-0005-0000-0000-00000A000000}"/>
    <cellStyle name="_3BEN_BG_SCO_PMT_SYNTHESE_T2_HT2_MIES" xfId="32" xr:uid="{00000000-0005-0000-0000-00000B000000}"/>
    <cellStyle name="_3MIRES_BG_MIRES_PMT_2013-2016_V1" xfId="33" xr:uid="{00000000-0005-0000-0000-00000C000000}"/>
    <cellStyle name="_4BLVT_BG_VILLELOGT_PMT v2" xfId="34" xr:uid="{00000000-0005-0000-0000-00000D000000}"/>
    <cellStyle name="_4BT_BG_EDAD_PMT v04 04 2012 mise à jour Météo-France(2)" xfId="35" xr:uid="{00000000-0005-0000-0000-00000E000000}"/>
    <cellStyle name="_4BT_BG_EDAD_PMT V27 4BT 4BLVT 4BDD T2HT2 " xfId="36" xr:uid="{00000000-0005-0000-0000-00000F000000}"/>
    <cellStyle name="_4BT_EDAD_Vdef" xfId="37" xr:uid="{00000000-0005-0000-0000-000010000000}"/>
    <cellStyle name="_4-mesures économies" xfId="38" xr:uid="{00000000-0005-0000-0000-000011000000}"/>
    <cellStyle name="_5BDM_BG_ANCCOMB_PMT v6" xfId="39" xr:uid="{00000000-0005-0000-0000-000012000000}"/>
    <cellStyle name="_5BDM_BG_DEFENSE_PMTv3" xfId="40" xr:uid="{00000000-0005-0000-0000-000013000000}"/>
    <cellStyle name="_6BEFP_BG_TRAVEMP_PMT" xfId="41" xr:uid="{00000000-0005-0000-0000-000014000000}"/>
    <cellStyle name="_6BEFP_BG_TRAVEMP_PMT (2)" xfId="42" xr:uid="{00000000-0005-0000-0000-000015000000}"/>
    <cellStyle name="_6BEFP_BG_TRAVEMP_PMT envoi synthèse 23032012" xfId="43" xr:uid="{00000000-0005-0000-0000-000016000000}"/>
    <cellStyle name="_6BEFP_TRAVEMP" xfId="44" xr:uid="{00000000-0005-0000-0000-000017000000}"/>
    <cellStyle name="_6BEFP_TRAVEMP_CP-octobre2011 (2)" xfId="45" xr:uid="{00000000-0005-0000-0000-000018000000}"/>
    <cellStyle name="_6BEFP_TRAVEMP-CP-juillet2011" xfId="46" xr:uid="{00000000-0005-0000-0000-000019000000}"/>
    <cellStyle name="_6BRS_BG_RSR_PMT" xfId="47" xr:uid="{00000000-0005-0000-0000-00001A000000}"/>
    <cellStyle name="_6BSI_BG_SOLIDARITE_PMT_synthèse_vf" xfId="48" xr:uid="{00000000-0005-0000-0000-00001B000000}"/>
    <cellStyle name="_6BSI_BG_SOLIDARITE_PMT_synthèse_vfBPB post 1er tour" xfId="49" xr:uid="{00000000-0005-0000-0000-00001C000000}"/>
    <cellStyle name="_7BA_BG_AGRI_PMT" xfId="50" xr:uid="{00000000-0005-0000-0000-00001D000000}"/>
    <cellStyle name="_7BA_BG_AGRI_PMT (feuilles opérateurs)" xfId="51" xr:uid="{00000000-0005-0000-0000-00001E000000}"/>
    <cellStyle name="_7BAED_BG_APD_PMT 23-03 VD" xfId="52" xr:uid="{00000000-0005-0000-0000-00001F000000}"/>
    <cellStyle name="_7BAED_BG_IAI_PMT 23-03 VD" xfId="53" xr:uid="{00000000-0005-0000-0000-000020000000}"/>
    <cellStyle name="_8BCJS_BG_CULTURE_PMT" xfId="54" xr:uid="{00000000-0005-0000-0000-000021000000}"/>
    <cellStyle name="_8BCJS_BG_CULTURE_PMT-opérateurs175V2MPAP" xfId="55" xr:uid="{00000000-0005-0000-0000-000022000000}"/>
    <cellStyle name="_8BEFOM_BG_GFPRH_PMT_V2 avec P309" xfId="56" xr:uid="{00000000-0005-0000-0000-000023000000}"/>
    <cellStyle name="_8BJM_BG_JUSTICE_PMT_v10" xfId="57" xr:uid="{00000000-0005-0000-0000-000024000000}"/>
    <cellStyle name="_8BJM_BG_MEDIAS_PMT_v2emeTour_vdef" xfId="58" xr:uid="{00000000-0005-0000-0000-000025000000}"/>
    <cellStyle name="_8BJM_CCF_AAP_PMT_v2emeTour_def " xfId="59" xr:uid="{00000000-0005-0000-0000-000026000000}"/>
    <cellStyle name="_Assiette Sup PMT 2ème Tour" xfId="60" xr:uid="{00000000-0005-0000-0000-000027000000}"/>
    <cellStyle name="_Assiette Sup PMT 2ème Tour (2)" xfId="61" xr:uid="{00000000-0005-0000-0000-000028000000}"/>
    <cellStyle name="_BP IONIS 11 MARS 2005V2 JMJ" xfId="62" xr:uid="{00000000-0005-0000-0000-000029000000}"/>
    <cellStyle name="_BP IONIS 11 MARS 2005V2 JMJ 2" xfId="63" xr:uid="{00000000-0005-0000-0000-00002A000000}"/>
    <cellStyle name="_BP IONIS 11 MARS 2005V2 JMJ 3" xfId="64" xr:uid="{00000000-0005-0000-0000-00002B000000}"/>
    <cellStyle name="_BRIQUES AE - DEFINITIF 13 avril" xfId="65" xr:uid="{00000000-0005-0000-0000-00002C000000}"/>
    <cellStyle name="_BRIQUES AE - DEFINITIF 13 avril_PLF 2012 - MCC - Arbitrages" xfId="66" xr:uid="{00000000-0005-0000-0000-00002D000000}"/>
    <cellStyle name="_BRIQUES CP - DEFINITIF 13 avril" xfId="67" xr:uid="{00000000-0005-0000-0000-00002E000000}"/>
    <cellStyle name="_BRIQUES CP - DEFINITIF 13 avril_PLF 2012 - MCC - Arbitrages" xfId="68" xr:uid="{00000000-0005-0000-0000-00002F000000}"/>
    <cellStyle name="_CAS AMENDES prev 2012" xfId="69" xr:uid="{00000000-0005-0000-0000-000030000000}"/>
    <cellStyle name="_Champ constant BG 2010 - 2012 _ complet 2709" xfId="70" xr:uid="{00000000-0005-0000-0000-000031000000}"/>
    <cellStyle name="_Classeur1" xfId="71" xr:uid="{00000000-0005-0000-0000-000032000000}"/>
    <cellStyle name="_Classeur1_Classeur3" xfId="72" xr:uid="{00000000-0005-0000-0000-000033000000}"/>
    <cellStyle name="_Classeur10" xfId="73" xr:uid="{00000000-0005-0000-0000-000034000000}"/>
    <cellStyle name="_Classeur11" xfId="74" xr:uid="{00000000-0005-0000-0000-000035000000}"/>
    <cellStyle name="_Classeur12" xfId="75" xr:uid="{00000000-0005-0000-0000-000036000000}"/>
    <cellStyle name="_Classeur13" xfId="76" xr:uid="{00000000-0005-0000-0000-000037000000}"/>
    <cellStyle name="_Classeur14" xfId="77" xr:uid="{00000000-0005-0000-0000-000038000000}"/>
    <cellStyle name="_Classeur15" xfId="78" xr:uid="{00000000-0005-0000-0000-000039000000}"/>
    <cellStyle name="_Classeur16" xfId="79" xr:uid="{00000000-0005-0000-0000-00003A000000}"/>
    <cellStyle name="_Classeur17" xfId="80" xr:uid="{00000000-0005-0000-0000-00003B000000}"/>
    <cellStyle name="_Classeur18" xfId="81" xr:uid="{00000000-0005-0000-0000-00003C000000}"/>
    <cellStyle name="_Classeur19" xfId="82" xr:uid="{00000000-0005-0000-0000-00003D000000}"/>
    <cellStyle name="_Classeur2" xfId="83" xr:uid="{00000000-0005-0000-0000-00003E000000}"/>
    <cellStyle name="_Classeur20" xfId="84" xr:uid="{00000000-0005-0000-0000-00003F000000}"/>
    <cellStyle name="_Classeur3" xfId="85" xr:uid="{00000000-0005-0000-0000-000040000000}"/>
    <cellStyle name="_Classeur4" xfId="86" xr:uid="{00000000-0005-0000-0000-000041000000}"/>
    <cellStyle name="_Classeur5" xfId="87" xr:uid="{00000000-0005-0000-0000-000042000000}"/>
    <cellStyle name="_Classeur6" xfId="88" xr:uid="{00000000-0005-0000-0000-000043000000}"/>
    <cellStyle name="_Classeur7" xfId="89" xr:uid="{00000000-0005-0000-0000-000044000000}"/>
    <cellStyle name="_Classeur8" xfId="90" xr:uid="{00000000-0005-0000-0000-000045000000}"/>
    <cellStyle name="_Classeur8 2" xfId="91" xr:uid="{00000000-0005-0000-0000-000046000000}"/>
    <cellStyle name="_Classeur8_01.P614_DTA JPE 2014_V2-bis" xfId="92" xr:uid="{00000000-0005-0000-0000-000047000000}"/>
    <cellStyle name="_Classeur8_01.P614_DTA JPE 2014_V2-bis 2" xfId="93" xr:uid="{00000000-0005-0000-0000-000048000000}"/>
    <cellStyle name="_Classeur8_1" xfId="94" xr:uid="{00000000-0005-0000-0000-000049000000}"/>
    <cellStyle name="_Classeur8_2013 03 05 ANNEXES circulaire sécurisation" xfId="95" xr:uid="{00000000-0005-0000-0000-00004A000000}"/>
    <cellStyle name="_Classeur8_2013 03 05 arbitrages PLF 2014" xfId="96" xr:uid="{00000000-0005-0000-0000-00004B000000}"/>
    <cellStyle name="_Classeur8_annexe5_arbitrage_OPE" xfId="97" xr:uid="{00000000-0005-0000-0000-00004C000000}"/>
    <cellStyle name="_Classeur8_annexe5_circ_OPE (2)" xfId="98" xr:uid="{00000000-0005-0000-0000-00004D000000}"/>
    <cellStyle name="_Classeur8_Dépenses par titre et par action JPE2014" xfId="99" xr:uid="{00000000-0005-0000-0000-00004E000000}"/>
    <cellStyle name="_Classeur8_M-08_triennal_DSNA" xfId="100" xr:uid="{00000000-0005-0000-0000-00004F000000}"/>
    <cellStyle name="_Classeur8_MEDDE - dossier arbitrage PLF 2013-2015 arbitrage v1" xfId="101" xr:uid="{00000000-0005-0000-0000-000050000000}"/>
    <cellStyle name="_Classeur8_OPE_CAS pension_05juil_18h" xfId="102" xr:uid="{00000000-0005-0000-0000-000051000000}"/>
    <cellStyle name="_Classeur8_Synthèse_CAS_Pensions_17juil_22h30" xfId="103" xr:uid="{00000000-0005-0000-0000-000052000000}"/>
    <cellStyle name="_Classeur8_Synthèse_CAS_Pensions_29juin_19h" xfId="104" xr:uid="{00000000-0005-0000-0000-000053000000}"/>
    <cellStyle name="_Classeur8_Synthèse_CAS_Pensions_30juil_11h" xfId="105" xr:uid="{00000000-0005-0000-0000-000054000000}"/>
    <cellStyle name="_Classeur9" xfId="106" xr:uid="{00000000-0005-0000-0000-000055000000}"/>
    <cellStyle name="_Column1" xfId="107" xr:uid="{00000000-0005-0000-0000-000056000000}"/>
    <cellStyle name="_Column1_ Bremen" xfId="108" xr:uid="{00000000-0005-0000-0000-000057000000}"/>
    <cellStyle name="_Column1_ Dresden" xfId="109" xr:uid="{00000000-0005-0000-0000-000058000000}"/>
    <cellStyle name="_Column1_ Düsseldorf" xfId="110" xr:uid="{00000000-0005-0000-0000-000059000000}"/>
    <cellStyle name="_Column1_ Köln Bonn" xfId="111" xr:uid="{00000000-0005-0000-0000-00005A000000}"/>
    <cellStyle name="_Column1_ München" xfId="112" xr:uid="{00000000-0005-0000-0000-00005B000000}"/>
    <cellStyle name="_Column1_bAV je KTR" xfId="113" xr:uid="{00000000-0005-0000-0000-00005C000000}"/>
    <cellStyle name="_Column1_Berlin BBI" xfId="114" xr:uid="{00000000-0005-0000-0000-00005D000000}"/>
    <cellStyle name="_Column1_Berlin Tegel" xfId="115" xr:uid="{00000000-0005-0000-0000-00005E000000}"/>
    <cellStyle name="_Column1_Brücke Mifri" xfId="116" xr:uid="{00000000-0005-0000-0000-00005F000000}"/>
    <cellStyle name="_Column1_Brücke RP" xfId="117" xr:uid="{00000000-0005-0000-0000-000060000000}"/>
    <cellStyle name="_Column1_Datenbasis-DFS_SAP-DFS2.2014" xfId="118" xr:uid="{00000000-0005-0000-0000-000061000000}"/>
    <cellStyle name="_Column1_Datenbasis-STRECKE_SAP-DFS2.201" xfId="119" xr:uid="{00000000-0005-0000-0000-000062000000}"/>
    <cellStyle name="_Column1_Eingabe-KTR" xfId="120" xr:uid="{00000000-0005-0000-0000-000063000000}"/>
    <cellStyle name="_Column1_Ek Gebühr KCB" xfId="121" xr:uid="{00000000-0005-0000-0000-000064000000}"/>
    <cellStyle name="_Column1_Ek Preisfinanziert" xfId="122" xr:uid="{00000000-0005-0000-0000-000065000000}"/>
    <cellStyle name="_Column1_Enroute" xfId="123" xr:uid="{00000000-0005-0000-0000-000066000000}"/>
    <cellStyle name="_Column1_Erfurt" xfId="124" xr:uid="{00000000-0005-0000-0000-000067000000}"/>
    <cellStyle name="_Column1_ERW2013" xfId="125" xr:uid="{00000000-0005-0000-0000-000068000000}"/>
    <cellStyle name="_Column1_EU-BW" xfId="126" xr:uid="{00000000-0005-0000-0000-000069000000}"/>
    <cellStyle name="_Column1_EU-Tabellen" xfId="127" xr:uid="{00000000-0005-0000-0000-00006A000000}"/>
    <cellStyle name="_Column1_Ford_Verbl LuL" xfId="128" xr:uid="{00000000-0005-0000-0000-00006B000000}"/>
    <cellStyle name="_Column1_Ford_Verbl LuL_Additional information tables" xfId="129" xr:uid="{00000000-0005-0000-0000-00006C000000}"/>
    <cellStyle name="_Column1_Ford_Verbl LuL_Berechnung CoC nach CAPM" xfId="130" xr:uid="{00000000-0005-0000-0000-00006D000000}"/>
    <cellStyle name="_Column1_Ford_Verbl LuL_Berechnung CoC nach CAPM_KTR An-Abflug" xfId="131" xr:uid="{00000000-0005-0000-0000-00006E000000}"/>
    <cellStyle name="_Column1_Ford_Verbl LuL_Berechnung CoC nach CAPM_KTR Strecke" xfId="132" xr:uid="{00000000-0005-0000-0000-00006F000000}"/>
    <cellStyle name="_Column1_Ford_Verbl LuL_KTR An-Abflug" xfId="133" xr:uid="{00000000-0005-0000-0000-000070000000}"/>
    <cellStyle name="_Column1_Ford_Verbl LuL_KTR Strecke" xfId="134" xr:uid="{00000000-0005-0000-0000-000071000000}"/>
    <cellStyle name="_Column1_Ford_Verbl LuL_Regulatory AssetBase mit Ist 13" xfId="135" xr:uid="{00000000-0005-0000-0000-000072000000}"/>
    <cellStyle name="_Column1_Ford_Verbl LuL_Regulatory AssetBase mit Ist 13_KTR An-Abflug" xfId="136" xr:uid="{00000000-0005-0000-0000-000073000000}"/>
    <cellStyle name="_Column1_Ford_Verbl LuL_Regulatory AssetBase mit Ist 13_KTR Strecke" xfId="137" xr:uid="{00000000-0005-0000-0000-000074000000}"/>
    <cellStyle name="_Column1_Ford_Verbl LuL_Tabellarische Darstellung" xfId="138" xr:uid="{00000000-0005-0000-0000-000075000000}"/>
    <cellStyle name="_Column1_Ford_Verbl LuL_Tabellarische Darstellung_KTR An-Abflug" xfId="139" xr:uid="{00000000-0005-0000-0000-000076000000}"/>
    <cellStyle name="_Column1_Ford_Verbl LuL_Tabellarische Darstellung_KTR Strecke" xfId="140" xr:uid="{00000000-0005-0000-0000-000077000000}"/>
    <cellStyle name="_Column1_Frankfurt" xfId="141" xr:uid="{00000000-0005-0000-0000-000078000000}"/>
    <cellStyle name="_Column1_Gebühren JP 2013 Stand 2. SV_Stand 13.12.2012" xfId="142" xr:uid="{00000000-0005-0000-0000-000079000000}"/>
    <cellStyle name="_Column1_Gebühren JP 2013 Stand 2. SV_Stand 13.12.2012_Additional information tables" xfId="143" xr:uid="{00000000-0005-0000-0000-00007A000000}"/>
    <cellStyle name="_Column1_Gebühren JP 2013 Stand 2. SV_Stand 13.12.2012_Berechnung CoC nach CAPM" xfId="144" xr:uid="{00000000-0005-0000-0000-00007B000000}"/>
    <cellStyle name="_Column1_Gebühren JP 2013 Stand 2. SV_Stand 13.12.2012_Berechnung CoC nach CAPM_KTR An-Abflug" xfId="145" xr:uid="{00000000-0005-0000-0000-00007C000000}"/>
    <cellStyle name="_Column1_Gebühren JP 2013 Stand 2. SV_Stand 13.12.2012_Berechnung CoC nach CAPM_KTR Strecke" xfId="146" xr:uid="{00000000-0005-0000-0000-00007D000000}"/>
    <cellStyle name="_Column1_Gebühren JP 2013 Stand 2. SV_Stand 13.12.2012_KTR An-Abflug" xfId="147" xr:uid="{00000000-0005-0000-0000-00007E000000}"/>
    <cellStyle name="_Column1_Gebühren JP 2013 Stand 2. SV_Stand 13.12.2012_KTR Strecke" xfId="148" xr:uid="{00000000-0005-0000-0000-00007F000000}"/>
    <cellStyle name="_Column1_Gebühren JP 2013 Stand 2. SV_Stand 13.12.2012_Regulatory AssetBase mit Ist 13" xfId="149" xr:uid="{00000000-0005-0000-0000-000080000000}"/>
    <cellStyle name="_Column1_Gebühren JP 2013 Stand 2. SV_Stand 13.12.2012_Regulatory AssetBase mit Ist 13_KTR An-Abflug" xfId="150" xr:uid="{00000000-0005-0000-0000-000081000000}"/>
    <cellStyle name="_Column1_Gebühren JP 2013 Stand 2. SV_Stand 13.12.2012_Regulatory AssetBase mit Ist 13_KTR Strecke" xfId="151" xr:uid="{00000000-0005-0000-0000-000082000000}"/>
    <cellStyle name="_Column1_Gebühren JP 2013 Stand 2. SV_Stand 13.12.2012_Tabellarische Darstellung" xfId="152" xr:uid="{00000000-0005-0000-0000-000083000000}"/>
    <cellStyle name="_Column1_Gebühren JP 2013 Stand 2. SV_Stand 13.12.2012_Tabellarische Darstellung_KTR An-Abflug" xfId="153" xr:uid="{00000000-0005-0000-0000-000084000000}"/>
    <cellStyle name="_Column1_Gebühren JP 2013 Stand 2. SV_Stand 13.12.2012_Tabellarische Darstellung_KTR Strecke" xfId="154" xr:uid="{00000000-0005-0000-0000-000085000000}"/>
    <cellStyle name="_Column1_Gebührenbilanz - Aufbau" xfId="155" xr:uid="{00000000-0005-0000-0000-000086000000}"/>
    <cellStyle name="_Column1_Gebührenbilanz - Aufbau_1" xfId="156" xr:uid="{00000000-0005-0000-0000-000087000000}"/>
    <cellStyle name="_Column1_Gebührenbilanz - Aufbau_1_Additional information tables" xfId="157" xr:uid="{00000000-0005-0000-0000-000088000000}"/>
    <cellStyle name="_Column1_Gebührenbilanz - Aufbau_1_Berechnung CoC nach CAPM" xfId="158" xr:uid="{00000000-0005-0000-0000-000089000000}"/>
    <cellStyle name="_Column1_Gebührenbilanz - Aufbau_1_Berechnung CoC nach CAPM_KTR An-Abflug" xfId="159" xr:uid="{00000000-0005-0000-0000-00008A000000}"/>
    <cellStyle name="_Column1_Gebührenbilanz - Aufbau_1_Berechnung CoC nach CAPM_KTR Strecke" xfId="160" xr:uid="{00000000-0005-0000-0000-00008B000000}"/>
    <cellStyle name="_Column1_Gebührenbilanz - Aufbau_1_KTR An-Abflug" xfId="161" xr:uid="{00000000-0005-0000-0000-00008C000000}"/>
    <cellStyle name="_Column1_Gebührenbilanz - Aufbau_1_KTR Strecke" xfId="162" xr:uid="{00000000-0005-0000-0000-00008D000000}"/>
    <cellStyle name="_Column1_Gebührenbilanz - Aufbau_1_Regulatory AssetBase mit Ist 13" xfId="163" xr:uid="{00000000-0005-0000-0000-00008E000000}"/>
    <cellStyle name="_Column1_Gebührenbilanz - Aufbau_1_Regulatory AssetBase mit Ist 13_KTR An-Abflug" xfId="164" xr:uid="{00000000-0005-0000-0000-00008F000000}"/>
    <cellStyle name="_Column1_Gebührenbilanz - Aufbau_1_Regulatory AssetBase mit Ist 13_KTR Strecke" xfId="165" xr:uid="{00000000-0005-0000-0000-000090000000}"/>
    <cellStyle name="_Column1_Gebührenbilanz - Aufbau_1_Tabellarische Darstellung" xfId="166" xr:uid="{00000000-0005-0000-0000-000091000000}"/>
    <cellStyle name="_Column1_Gebührenbilanz - Aufbau_1_Tabellarische Darstellung_KTR An-Abflug" xfId="167" xr:uid="{00000000-0005-0000-0000-000092000000}"/>
    <cellStyle name="_Column1_Gebührenbilanz - Aufbau_1_Tabellarische Darstellung_KTR Strecke" xfId="168" xr:uid="{00000000-0005-0000-0000-000093000000}"/>
    <cellStyle name="_Column1_Gebührenbilanz - Aufbau_BAV" xfId="169" xr:uid="{00000000-0005-0000-0000-000094000000}"/>
    <cellStyle name="_Column1_Gebührenbilanz - Aufbau_Enroute" xfId="170" xr:uid="{00000000-0005-0000-0000-000095000000}"/>
    <cellStyle name="_Column1_Gebührenbilanz - Aufbau_KTR An-Abflug" xfId="171" xr:uid="{00000000-0005-0000-0000-000096000000}"/>
    <cellStyle name="_Column1_Gebührenbilanz - Aufbau_KTR Strecke" xfId="172" xr:uid="{00000000-0005-0000-0000-000097000000}"/>
    <cellStyle name="_Column1_Gesamtbilanz " xfId="173" xr:uid="{00000000-0005-0000-0000-000098000000}"/>
    <cellStyle name="_Column1_Hamburg" xfId="174" xr:uid="{00000000-0005-0000-0000-000099000000}"/>
    <cellStyle name="_Column1_Hannover" xfId="175" xr:uid="{00000000-0005-0000-0000-00009A000000}"/>
    <cellStyle name="_Column1_KTR An-Abflug" xfId="176" xr:uid="{00000000-0005-0000-0000-00009B000000}"/>
    <cellStyle name="_Column1_KTR An-Abflug_BAV" xfId="177" xr:uid="{00000000-0005-0000-0000-00009C000000}"/>
    <cellStyle name="_Column1_KTR An-Abflug_Enroute" xfId="178" xr:uid="{00000000-0005-0000-0000-00009D000000}"/>
    <cellStyle name="_Column1_KTR An-Abflug_KTR An-Abflug" xfId="179" xr:uid="{00000000-0005-0000-0000-00009E000000}"/>
    <cellStyle name="_Column1_KTR An-Abflug_KTR Strecke" xfId="180" xr:uid="{00000000-0005-0000-0000-00009F000000}"/>
    <cellStyle name="_Column1_KTR Strecke" xfId="181" xr:uid="{00000000-0005-0000-0000-0000A0000000}"/>
    <cellStyle name="_Column1_KTR Strecke_KTR An-Abflug" xfId="182" xr:uid="{00000000-0005-0000-0000-0000A1000000}"/>
    <cellStyle name="_Column1_KTR Strecke_KTR Strecke" xfId="183" xr:uid="{00000000-0005-0000-0000-0000A2000000}"/>
    <cellStyle name="_Column1_Leipzig" xfId="184" xr:uid="{00000000-0005-0000-0000-0000A3000000}"/>
    <cellStyle name="_Column1_Münster Osnabrück" xfId="185" xr:uid="{00000000-0005-0000-0000-0000A4000000}"/>
    <cellStyle name="_Column1_Nürnberg" xfId="186" xr:uid="{00000000-0005-0000-0000-0000A5000000}"/>
    <cellStyle name="_Column1_Schlüssel BNV" xfId="188" xr:uid="{00000000-0005-0000-0000-0000A7000000}"/>
    <cellStyle name="_Column1_Schlüssel BNV_Additional information tables" xfId="189" xr:uid="{00000000-0005-0000-0000-0000A8000000}"/>
    <cellStyle name="_Column1_Schlüssel BNV_Berechnung CoC nach CAPM" xfId="190" xr:uid="{00000000-0005-0000-0000-0000A9000000}"/>
    <cellStyle name="_Column1_Schlüssel BNV_Berechnung CoC nach CAPM_KTR An-Abflug" xfId="191" xr:uid="{00000000-0005-0000-0000-0000AA000000}"/>
    <cellStyle name="_Column1_Schlüssel BNV_Berechnung CoC nach CAPM_KTR Strecke" xfId="192" xr:uid="{00000000-0005-0000-0000-0000AB000000}"/>
    <cellStyle name="_Column1_Schlüssel BNV_KTR An-Abflug" xfId="193" xr:uid="{00000000-0005-0000-0000-0000AC000000}"/>
    <cellStyle name="_Column1_Schlüssel BNV_KTR Strecke" xfId="194" xr:uid="{00000000-0005-0000-0000-0000AD000000}"/>
    <cellStyle name="_Column1_Schlüssel BNV_Regulatory AssetBase mit Ist 13" xfId="195" xr:uid="{00000000-0005-0000-0000-0000AE000000}"/>
    <cellStyle name="_Column1_Schlüssel BNV_Regulatory AssetBase mit Ist 13_KTR An-Abflug" xfId="196" xr:uid="{00000000-0005-0000-0000-0000AF000000}"/>
    <cellStyle name="_Column1_Schlüssel BNV_Regulatory AssetBase mit Ist 13_KTR Strecke" xfId="197" xr:uid="{00000000-0005-0000-0000-0000B0000000}"/>
    <cellStyle name="_Column1_Schlüssel BNV_Tabellarische Darstellung" xfId="198" xr:uid="{00000000-0005-0000-0000-0000B1000000}"/>
    <cellStyle name="_Column1_Schlüssel BNV_Tabellarische Darstellung_KTR An-Abflug" xfId="199" xr:uid="{00000000-0005-0000-0000-0000B2000000}"/>
    <cellStyle name="_Column1_Schlüssel BNV_Tabellarische Darstellung_KTR Strecke" xfId="200" xr:uid="{00000000-0005-0000-0000-0000B3000000}"/>
    <cellStyle name="_Column1_Stuttgart" xfId="201" xr:uid="{00000000-0005-0000-0000-0000B4000000}"/>
    <cellStyle name="_Column1_Saarbrücken" xfId="187" xr:uid="{00000000-0005-0000-0000-0000A6000000}"/>
    <cellStyle name="_Column1_Tabelle2" xfId="202" xr:uid="{00000000-0005-0000-0000-0000B5000000}"/>
    <cellStyle name="_Column1_Table 1 ANSP" xfId="203" xr:uid="{00000000-0005-0000-0000-0000B6000000}"/>
    <cellStyle name="_Column1_TABLE 2" xfId="204" xr:uid="{00000000-0005-0000-0000-0000B7000000}"/>
    <cellStyle name="_Column1_TABLE 2 DFS" xfId="205" xr:uid="{00000000-0005-0000-0000-0000B8000000}"/>
    <cellStyle name="_Column1_TWR TXL_BER" xfId="206" xr:uid="{00000000-0005-0000-0000-0000B9000000}"/>
    <cellStyle name="_Column1_TWR TXL_BER_Berlin BBI 2" xfId="207" xr:uid="{00000000-0005-0000-0000-0000BA000000}"/>
    <cellStyle name="_Column1_TWR TXL_BER_Bremen 2" xfId="208" xr:uid="{00000000-0005-0000-0000-0000BB000000}"/>
    <cellStyle name="_Column1_TWR TXL_BER_Dresden2" xfId="209" xr:uid="{00000000-0005-0000-0000-0000BC000000}"/>
    <cellStyle name="_Column1_TWR TXL_BER_Düsseldorf  2" xfId="210" xr:uid="{00000000-0005-0000-0000-0000BD000000}"/>
    <cellStyle name="_Column1_TWR TXL_BER_Erfurt 2" xfId="211" xr:uid="{00000000-0005-0000-0000-0000BE000000}"/>
    <cellStyle name="_Column1_TWR TXL_BER_Frankfurt 2" xfId="212" xr:uid="{00000000-0005-0000-0000-0000BF000000}"/>
    <cellStyle name="_Column1_TWR TXL_BER_Hamburg 2" xfId="213" xr:uid="{00000000-0005-0000-0000-0000C0000000}"/>
    <cellStyle name="_Column1_TWR TXL_BER_Hannover 2" xfId="214" xr:uid="{00000000-0005-0000-0000-0000C1000000}"/>
    <cellStyle name="_Column1_TWR TXL_BER_Köln Bonn 2" xfId="215" xr:uid="{00000000-0005-0000-0000-0000C2000000}"/>
    <cellStyle name="_Column1_TWR TXL_BER_Leipzig 2" xfId="216" xr:uid="{00000000-0005-0000-0000-0000C3000000}"/>
    <cellStyle name="_Column1_TWR TXL_BER_München 2" xfId="217" xr:uid="{00000000-0005-0000-0000-0000C4000000}"/>
    <cellStyle name="_Column1_TWR TXL_BER_Münster 2" xfId="218" xr:uid="{00000000-0005-0000-0000-0000C5000000}"/>
    <cellStyle name="_Column1_TWR TXL_BER_Nürnberg 2" xfId="219" xr:uid="{00000000-0005-0000-0000-0000C6000000}"/>
    <cellStyle name="_Column1_TWR TXL_BER_Stuttgart 2" xfId="221" xr:uid="{00000000-0005-0000-0000-0000C8000000}"/>
    <cellStyle name="_Column1_TWR TXL_BER_Saarbrücken 2" xfId="220" xr:uid="{00000000-0005-0000-0000-0000C7000000}"/>
    <cellStyle name="_Column1_Werte aktualisieren" xfId="235" xr:uid="{00000000-0005-0000-0000-0000D6000000}"/>
    <cellStyle name="_Column1_Übersicht Modelle" xfId="222" xr:uid="{00000000-0005-0000-0000-0000C9000000}"/>
    <cellStyle name="_Column1_Übersicht Modelle_Additional information tables" xfId="223" xr:uid="{00000000-0005-0000-0000-0000CA000000}"/>
    <cellStyle name="_Column1_Übersicht Modelle_Berechnung CoC nach CAPM" xfId="224" xr:uid="{00000000-0005-0000-0000-0000CB000000}"/>
    <cellStyle name="_Column1_Übersicht Modelle_Berechnung CoC nach CAPM_KTR An-Abflug" xfId="225" xr:uid="{00000000-0005-0000-0000-0000CC000000}"/>
    <cellStyle name="_Column1_Übersicht Modelle_Berechnung CoC nach CAPM_KTR Strecke" xfId="226" xr:uid="{00000000-0005-0000-0000-0000CD000000}"/>
    <cellStyle name="_Column1_Übersicht Modelle_KTR An-Abflug" xfId="227" xr:uid="{00000000-0005-0000-0000-0000CE000000}"/>
    <cellStyle name="_Column1_Übersicht Modelle_KTR Strecke" xfId="228" xr:uid="{00000000-0005-0000-0000-0000CF000000}"/>
    <cellStyle name="_Column1_Übersicht Modelle_Regulatory AssetBase mit Ist 13" xfId="229" xr:uid="{00000000-0005-0000-0000-0000D0000000}"/>
    <cellStyle name="_Column1_Übersicht Modelle_Regulatory AssetBase mit Ist 13_KTR An-Abflug" xfId="230" xr:uid="{00000000-0005-0000-0000-0000D1000000}"/>
    <cellStyle name="_Column1_Übersicht Modelle_Regulatory AssetBase mit Ist 13_KTR Strecke" xfId="231" xr:uid="{00000000-0005-0000-0000-0000D2000000}"/>
    <cellStyle name="_Column1_Übersicht Modelle_Tabellarische Darstellung" xfId="232" xr:uid="{00000000-0005-0000-0000-0000D3000000}"/>
    <cellStyle name="_Column1_Übersicht Modelle_Tabellarische Darstellung_KTR An-Abflug" xfId="233" xr:uid="{00000000-0005-0000-0000-0000D4000000}"/>
    <cellStyle name="_Column1_Übersicht Modelle_Tabellarische Darstellung_KTR Strecke" xfId="234" xr:uid="{00000000-0005-0000-0000-0000D5000000}"/>
    <cellStyle name="_Column1_Zsfssg" xfId="236" xr:uid="{00000000-0005-0000-0000-0000D7000000}"/>
    <cellStyle name="_Column2" xfId="237" xr:uid="{00000000-0005-0000-0000-0000D8000000}"/>
    <cellStyle name="_Column2_Aufteilung TWR-Standorte_2010" xfId="238" xr:uid="{00000000-0005-0000-0000-0000D9000000}"/>
    <cellStyle name="_Column2_Bruecke" xfId="240" xr:uid="{00000000-0005-0000-0000-0000DB000000}"/>
    <cellStyle name="_Column2_Brücke" xfId="239" xr:uid="{00000000-0005-0000-0000-0000DA000000}"/>
    <cellStyle name="_Column2_DB_Bereich" xfId="241" xr:uid="{00000000-0005-0000-0000-0000DC000000}"/>
    <cellStyle name="_Column2_Ek Preisfinanziert" xfId="242" xr:uid="{00000000-0005-0000-0000-0000DD000000}"/>
    <cellStyle name="_Column2_Ermittlung Überdeckung-vorl JA" xfId="243" xr:uid="{00000000-0005-0000-0000-0000DE000000}"/>
    <cellStyle name="_Column2_Gebührenbilanz - Aufbau" xfId="244" xr:uid="{00000000-0005-0000-0000-0000DF000000}"/>
    <cellStyle name="_Column2_KER" xfId="245" xr:uid="{00000000-0005-0000-0000-0000E0000000}"/>
    <cellStyle name="_Column2_KER-2007-Überdeckung mit ALEA-mit KTR-Kosten-Herleitung (feste Werte)" xfId="246" xr:uid="{00000000-0005-0000-0000-0000E1000000}"/>
    <cellStyle name="_Column2_KER-2011-Überdeckung mit ALEA-mit KTR-Kosten" xfId="247" xr:uid="{00000000-0005-0000-0000-0000E2000000}"/>
    <cellStyle name="_Column2_MIS_DFS1" xfId="248" xr:uid="{00000000-0005-0000-0000-0000E3000000}"/>
    <cellStyle name="_Column2_MIS_DFS2" xfId="249" xr:uid="{00000000-0005-0000-0000-0000E4000000}"/>
    <cellStyle name="_Column2_Tabelle1" xfId="250" xr:uid="{00000000-0005-0000-0000-0000E5000000}"/>
    <cellStyle name="_Column2_TWR TXL_BER" xfId="251" xr:uid="{00000000-0005-0000-0000-0000E6000000}"/>
    <cellStyle name="_Column2_Überleitung ins EU-Berichtswesen" xfId="252" xr:uid="{00000000-0005-0000-0000-0000E7000000}"/>
    <cellStyle name="_Column3" xfId="253" xr:uid="{00000000-0005-0000-0000-0000E8000000}"/>
    <cellStyle name="_Column3_Aufteilung TWR-Standorte_2010" xfId="254" xr:uid="{00000000-0005-0000-0000-0000E9000000}"/>
    <cellStyle name="_Column3_Bruecke" xfId="256" xr:uid="{00000000-0005-0000-0000-0000EB000000}"/>
    <cellStyle name="_Column3_Brücke" xfId="255" xr:uid="{00000000-0005-0000-0000-0000EA000000}"/>
    <cellStyle name="_Column3_DB_Bereich" xfId="257" xr:uid="{00000000-0005-0000-0000-0000EC000000}"/>
    <cellStyle name="_Column3_Ek Preisfinanziert" xfId="258" xr:uid="{00000000-0005-0000-0000-0000ED000000}"/>
    <cellStyle name="_Column3_Ermittlung Überdeckung-vorl JA" xfId="259" xr:uid="{00000000-0005-0000-0000-0000EE000000}"/>
    <cellStyle name="_Column3_Gebührenbilanz - Aufbau" xfId="260" xr:uid="{00000000-0005-0000-0000-0000EF000000}"/>
    <cellStyle name="_Column3_KER" xfId="261" xr:uid="{00000000-0005-0000-0000-0000F0000000}"/>
    <cellStyle name="_Column3_KER-2007-Überdeckung mit ALEA-mit KTR-Kosten-Herleitung (feste Werte)" xfId="262" xr:uid="{00000000-0005-0000-0000-0000F1000000}"/>
    <cellStyle name="_Column3_KER-2011-Überdeckung mit ALEA-mit KTR-Kosten" xfId="263" xr:uid="{00000000-0005-0000-0000-0000F2000000}"/>
    <cellStyle name="_Column3_MIS_DFS1" xfId="264" xr:uid="{00000000-0005-0000-0000-0000F3000000}"/>
    <cellStyle name="_Column3_MIS_DFS2" xfId="265" xr:uid="{00000000-0005-0000-0000-0000F4000000}"/>
    <cellStyle name="_Column3_Tabelle1" xfId="266" xr:uid="{00000000-0005-0000-0000-0000F5000000}"/>
    <cellStyle name="_Column3_TWR TXL_BER" xfId="267" xr:uid="{00000000-0005-0000-0000-0000F6000000}"/>
    <cellStyle name="_Column3_Überleitung ins EU-Berichtswesen" xfId="268" xr:uid="{00000000-0005-0000-0000-0000F7000000}"/>
    <cellStyle name="_Column4" xfId="269" xr:uid="{00000000-0005-0000-0000-0000F8000000}"/>
    <cellStyle name="_Column4_ Bremen" xfId="270" xr:uid="{00000000-0005-0000-0000-0000F9000000}"/>
    <cellStyle name="_Column4_ Dresden" xfId="271" xr:uid="{00000000-0005-0000-0000-0000FA000000}"/>
    <cellStyle name="_Column4_ Düsseldorf" xfId="272" xr:uid="{00000000-0005-0000-0000-0000FB000000}"/>
    <cellStyle name="_Column4_ Köln Bonn" xfId="273" xr:uid="{00000000-0005-0000-0000-0000FC000000}"/>
    <cellStyle name="_Column4_ München" xfId="274" xr:uid="{00000000-0005-0000-0000-0000FD000000}"/>
    <cellStyle name="_Column4_Aufteilung TWR-Standorte_2010" xfId="275" xr:uid="{00000000-0005-0000-0000-0000FE000000}"/>
    <cellStyle name="_Column4_Aufteilung TWR-Standorte_2010_KTR An-Abflug" xfId="276" xr:uid="{00000000-0005-0000-0000-0000FF000000}"/>
    <cellStyle name="_Column4_Aufteilung TWR-Standorte_2010_KTR Strecke" xfId="277" xr:uid="{00000000-0005-0000-0000-000000010000}"/>
    <cellStyle name="_Column4_bAV je KTR" xfId="278" xr:uid="{00000000-0005-0000-0000-000001010000}"/>
    <cellStyle name="_Column4_Berlin BBI" xfId="279" xr:uid="{00000000-0005-0000-0000-000002010000}"/>
    <cellStyle name="_Column4_Berlin Tegel" xfId="280" xr:uid="{00000000-0005-0000-0000-000003010000}"/>
    <cellStyle name="_Column4_Bruecke" xfId="286" xr:uid="{00000000-0005-0000-0000-000009010000}"/>
    <cellStyle name="_Column4_Bruecke_KTR An-Abflug" xfId="287" xr:uid="{00000000-0005-0000-0000-00000A010000}"/>
    <cellStyle name="_Column4_Bruecke_KTR Strecke" xfId="288" xr:uid="{00000000-0005-0000-0000-00000B010000}"/>
    <cellStyle name="_Column4_Brücke" xfId="281" xr:uid="{00000000-0005-0000-0000-000004010000}"/>
    <cellStyle name="_Column4_Brücke Mifri" xfId="282" xr:uid="{00000000-0005-0000-0000-000005010000}"/>
    <cellStyle name="_Column4_Brücke RP" xfId="283" xr:uid="{00000000-0005-0000-0000-000006010000}"/>
    <cellStyle name="_Column4_Brücke_KTR An-Abflug" xfId="284" xr:uid="{00000000-0005-0000-0000-000007010000}"/>
    <cellStyle name="_Column4_Brücke_KTR Strecke" xfId="285" xr:uid="{00000000-0005-0000-0000-000008010000}"/>
    <cellStyle name="_Column4_Datenbasis-DFS_SAP-DFS2.2014" xfId="289" xr:uid="{00000000-0005-0000-0000-00000C010000}"/>
    <cellStyle name="_Column4_Datenbasis-STRECKE_SAP-DFS2.201" xfId="290" xr:uid="{00000000-0005-0000-0000-00000D010000}"/>
    <cellStyle name="_Column4_DB_Bereich" xfId="291" xr:uid="{00000000-0005-0000-0000-00000E010000}"/>
    <cellStyle name="_Column4_DB_Bereich_KTR An-Abflug" xfId="292" xr:uid="{00000000-0005-0000-0000-00000F010000}"/>
    <cellStyle name="_Column4_DB_Bereich_KTR Strecke" xfId="293" xr:uid="{00000000-0005-0000-0000-000010010000}"/>
    <cellStyle name="_Column4_Eingabe-KTR" xfId="294" xr:uid="{00000000-0005-0000-0000-000011010000}"/>
    <cellStyle name="_Column4_Ek Gebühr KCB" xfId="295" xr:uid="{00000000-0005-0000-0000-000012010000}"/>
    <cellStyle name="_Column4_Ek Preisfinanziert" xfId="296" xr:uid="{00000000-0005-0000-0000-000013010000}"/>
    <cellStyle name="_Column4_Enroute" xfId="297" xr:uid="{00000000-0005-0000-0000-000014010000}"/>
    <cellStyle name="_Column4_Erfurt" xfId="298" xr:uid="{00000000-0005-0000-0000-000015010000}"/>
    <cellStyle name="_Column4_Ermittlung Überdeckung-vorl JA" xfId="299" xr:uid="{00000000-0005-0000-0000-000016010000}"/>
    <cellStyle name="_Column4_Ermittlung Überdeckung-vorl JA_KTR An-Abflug" xfId="300" xr:uid="{00000000-0005-0000-0000-000017010000}"/>
    <cellStyle name="_Column4_Ermittlung Überdeckung-vorl JA_KTR Strecke" xfId="301" xr:uid="{00000000-0005-0000-0000-000018010000}"/>
    <cellStyle name="_Column4_ERW2013" xfId="302" xr:uid="{00000000-0005-0000-0000-000019010000}"/>
    <cellStyle name="_Column4_EU-BW" xfId="303" xr:uid="{00000000-0005-0000-0000-00001A010000}"/>
    <cellStyle name="_Column4_EU-Tabellen" xfId="304" xr:uid="{00000000-0005-0000-0000-00001B010000}"/>
    <cellStyle name="_Column4_Ford_Verbl LuL" xfId="305" xr:uid="{00000000-0005-0000-0000-00001C010000}"/>
    <cellStyle name="_Column4_Ford_Verbl LuL_Additional information tables" xfId="306" xr:uid="{00000000-0005-0000-0000-00001D010000}"/>
    <cellStyle name="_Column4_Ford_Verbl LuL_Berechnung CoC nach CAPM" xfId="307" xr:uid="{00000000-0005-0000-0000-00001E010000}"/>
    <cellStyle name="_Column4_Ford_Verbl LuL_Berechnung CoC nach CAPM_KTR An-Abflug" xfId="308" xr:uid="{00000000-0005-0000-0000-00001F010000}"/>
    <cellStyle name="_Column4_Ford_Verbl LuL_Berechnung CoC nach CAPM_KTR Strecke" xfId="309" xr:uid="{00000000-0005-0000-0000-000020010000}"/>
    <cellStyle name="_Column4_Ford_Verbl LuL_KTR An-Abflug" xfId="310" xr:uid="{00000000-0005-0000-0000-000021010000}"/>
    <cellStyle name="_Column4_Ford_Verbl LuL_KTR Strecke" xfId="311" xr:uid="{00000000-0005-0000-0000-000022010000}"/>
    <cellStyle name="_Column4_Ford_Verbl LuL_Regulatory AssetBase mit Ist 13" xfId="312" xr:uid="{00000000-0005-0000-0000-000023010000}"/>
    <cellStyle name="_Column4_Ford_Verbl LuL_Regulatory AssetBase mit Ist 13_KTR An-Abflug" xfId="313" xr:uid="{00000000-0005-0000-0000-000024010000}"/>
    <cellStyle name="_Column4_Ford_Verbl LuL_Regulatory AssetBase mit Ist 13_KTR Strecke" xfId="314" xr:uid="{00000000-0005-0000-0000-000025010000}"/>
    <cellStyle name="_Column4_Ford_Verbl LuL_Tabellarische Darstellung" xfId="315" xr:uid="{00000000-0005-0000-0000-000026010000}"/>
    <cellStyle name="_Column4_Ford_Verbl LuL_Tabellarische Darstellung_KTR An-Abflug" xfId="316" xr:uid="{00000000-0005-0000-0000-000027010000}"/>
    <cellStyle name="_Column4_Ford_Verbl LuL_Tabellarische Darstellung_KTR Strecke" xfId="317" xr:uid="{00000000-0005-0000-0000-000028010000}"/>
    <cellStyle name="_Column4_Frankfurt" xfId="318" xr:uid="{00000000-0005-0000-0000-000029010000}"/>
    <cellStyle name="_Column4_Gebühren JP 2013 Stand 2. SV_Stand 13.12.2012" xfId="319" xr:uid="{00000000-0005-0000-0000-00002A010000}"/>
    <cellStyle name="_Column4_Gebühren JP 2013 Stand 2. SV_Stand 13.12.2012_Additional information tables" xfId="320" xr:uid="{00000000-0005-0000-0000-00002B010000}"/>
    <cellStyle name="_Column4_Gebühren JP 2013 Stand 2. SV_Stand 13.12.2012_Berechnung CoC nach CAPM" xfId="321" xr:uid="{00000000-0005-0000-0000-00002C010000}"/>
    <cellStyle name="_Column4_Gebühren JP 2013 Stand 2. SV_Stand 13.12.2012_Berechnung CoC nach CAPM_KTR An-Abflug" xfId="322" xr:uid="{00000000-0005-0000-0000-00002D010000}"/>
    <cellStyle name="_Column4_Gebühren JP 2013 Stand 2. SV_Stand 13.12.2012_Berechnung CoC nach CAPM_KTR Strecke" xfId="323" xr:uid="{00000000-0005-0000-0000-00002E010000}"/>
    <cellStyle name="_Column4_Gebühren JP 2013 Stand 2. SV_Stand 13.12.2012_KTR An-Abflug" xfId="324" xr:uid="{00000000-0005-0000-0000-00002F010000}"/>
    <cellStyle name="_Column4_Gebühren JP 2013 Stand 2. SV_Stand 13.12.2012_KTR Strecke" xfId="325" xr:uid="{00000000-0005-0000-0000-000030010000}"/>
    <cellStyle name="_Column4_Gebühren JP 2013 Stand 2. SV_Stand 13.12.2012_Regulatory AssetBase mit Ist 13" xfId="326" xr:uid="{00000000-0005-0000-0000-000031010000}"/>
    <cellStyle name="_Column4_Gebühren JP 2013 Stand 2. SV_Stand 13.12.2012_Regulatory AssetBase mit Ist 13_KTR An-Abflug" xfId="327" xr:uid="{00000000-0005-0000-0000-000032010000}"/>
    <cellStyle name="_Column4_Gebühren JP 2013 Stand 2. SV_Stand 13.12.2012_Regulatory AssetBase mit Ist 13_KTR Strecke" xfId="328" xr:uid="{00000000-0005-0000-0000-000033010000}"/>
    <cellStyle name="_Column4_Gebühren JP 2013 Stand 2. SV_Stand 13.12.2012_Tabellarische Darstellung" xfId="329" xr:uid="{00000000-0005-0000-0000-000034010000}"/>
    <cellStyle name="_Column4_Gebühren JP 2013 Stand 2. SV_Stand 13.12.2012_Tabellarische Darstellung_KTR An-Abflug" xfId="330" xr:uid="{00000000-0005-0000-0000-000035010000}"/>
    <cellStyle name="_Column4_Gebühren JP 2013 Stand 2. SV_Stand 13.12.2012_Tabellarische Darstellung_KTR Strecke" xfId="331" xr:uid="{00000000-0005-0000-0000-000036010000}"/>
    <cellStyle name="_Column4_Gebührenbilanz - Aufbau" xfId="332" xr:uid="{00000000-0005-0000-0000-000037010000}"/>
    <cellStyle name="_Column4_Gebührenbilanz - Aufbau_1" xfId="333" xr:uid="{00000000-0005-0000-0000-000038010000}"/>
    <cellStyle name="_Column4_Gebührenbilanz - Aufbau_1_Additional information tables" xfId="334" xr:uid="{00000000-0005-0000-0000-000039010000}"/>
    <cellStyle name="_Column4_Gebührenbilanz - Aufbau_1_Berechnung CoC nach CAPM" xfId="335" xr:uid="{00000000-0005-0000-0000-00003A010000}"/>
    <cellStyle name="_Column4_Gebührenbilanz - Aufbau_1_Berechnung CoC nach CAPM_KTR An-Abflug" xfId="336" xr:uid="{00000000-0005-0000-0000-00003B010000}"/>
    <cellStyle name="_Column4_Gebührenbilanz - Aufbau_1_Berechnung CoC nach CAPM_KTR Strecke" xfId="337" xr:uid="{00000000-0005-0000-0000-00003C010000}"/>
    <cellStyle name="_Column4_Gebührenbilanz - Aufbau_1_KTR An-Abflug" xfId="338" xr:uid="{00000000-0005-0000-0000-00003D010000}"/>
    <cellStyle name="_Column4_Gebührenbilanz - Aufbau_1_KTR Strecke" xfId="339" xr:uid="{00000000-0005-0000-0000-00003E010000}"/>
    <cellStyle name="_Column4_Gebührenbilanz - Aufbau_1_Regulatory AssetBase mit Ist 13" xfId="340" xr:uid="{00000000-0005-0000-0000-00003F010000}"/>
    <cellStyle name="_Column4_Gebührenbilanz - Aufbau_1_Regulatory AssetBase mit Ist 13_KTR An-Abflug" xfId="341" xr:uid="{00000000-0005-0000-0000-000040010000}"/>
    <cellStyle name="_Column4_Gebührenbilanz - Aufbau_1_Regulatory AssetBase mit Ist 13_KTR Strecke" xfId="342" xr:uid="{00000000-0005-0000-0000-000041010000}"/>
    <cellStyle name="_Column4_Gebührenbilanz - Aufbau_1_Tabellarische Darstellung" xfId="343" xr:uid="{00000000-0005-0000-0000-000042010000}"/>
    <cellStyle name="_Column4_Gebührenbilanz - Aufbau_1_Tabellarische Darstellung_KTR An-Abflug" xfId="344" xr:uid="{00000000-0005-0000-0000-000043010000}"/>
    <cellStyle name="_Column4_Gebührenbilanz - Aufbau_1_Tabellarische Darstellung_KTR Strecke" xfId="345" xr:uid="{00000000-0005-0000-0000-000044010000}"/>
    <cellStyle name="_Column4_Gebührenbilanz - Aufbau_2" xfId="346" xr:uid="{00000000-0005-0000-0000-000045010000}"/>
    <cellStyle name="_Column4_Gebührenbilanz - Aufbau_2_KTR An-Abflug" xfId="347" xr:uid="{00000000-0005-0000-0000-000046010000}"/>
    <cellStyle name="_Column4_Gebührenbilanz - Aufbau_2_KTR Strecke" xfId="348" xr:uid="{00000000-0005-0000-0000-000047010000}"/>
    <cellStyle name="_Column4_Gebührenbilanz - Aufbau_BAV" xfId="349" xr:uid="{00000000-0005-0000-0000-000048010000}"/>
    <cellStyle name="_Column4_Gebührenbilanz - Aufbau_Enroute" xfId="350" xr:uid="{00000000-0005-0000-0000-000049010000}"/>
    <cellStyle name="_Column4_Gebührenbilanz - Aufbau_KTR An-Abflug" xfId="351" xr:uid="{00000000-0005-0000-0000-00004A010000}"/>
    <cellStyle name="_Column4_Gebührenbilanz - Aufbau_KTR Strecke" xfId="352" xr:uid="{00000000-0005-0000-0000-00004B010000}"/>
    <cellStyle name="_Column4_Gesamtbilanz " xfId="353" xr:uid="{00000000-0005-0000-0000-00004C010000}"/>
    <cellStyle name="_Column4_Hamburg" xfId="354" xr:uid="{00000000-0005-0000-0000-00004D010000}"/>
    <cellStyle name="_Column4_Hannover" xfId="355" xr:uid="{00000000-0005-0000-0000-00004E010000}"/>
    <cellStyle name="_Column4_KER" xfId="356" xr:uid="{00000000-0005-0000-0000-00004F010000}"/>
    <cellStyle name="_Column4_KER_KTR An-Abflug" xfId="357" xr:uid="{00000000-0005-0000-0000-000050010000}"/>
    <cellStyle name="_Column4_KER_KTR Strecke" xfId="358" xr:uid="{00000000-0005-0000-0000-000051010000}"/>
    <cellStyle name="_Column4_KER-2007-Überdeckung mit ALEA-mit KTR-Kosten-Herleitung (feste Werte)" xfId="359" xr:uid="{00000000-0005-0000-0000-000052010000}"/>
    <cellStyle name="_Column4_KER-2007-Überdeckung mit ALEA-mit KTR-Kosten-Herleitung (feste Werte)_KTR An-Abflug" xfId="360" xr:uid="{00000000-0005-0000-0000-000053010000}"/>
    <cellStyle name="_Column4_KER-2007-Überdeckung mit ALEA-mit KTR-Kosten-Herleitung (feste Werte)_KTR Strecke" xfId="361" xr:uid="{00000000-0005-0000-0000-000054010000}"/>
    <cellStyle name="_Column4_KER-2011-Überdeckung mit ALEA-mit KTR-Kosten" xfId="362" xr:uid="{00000000-0005-0000-0000-000055010000}"/>
    <cellStyle name="_Column4_KER-2011-Überdeckung mit ALEA-mit KTR-Kosten_KTR An-Abflug" xfId="363" xr:uid="{00000000-0005-0000-0000-000056010000}"/>
    <cellStyle name="_Column4_KER-2011-Überdeckung mit ALEA-mit KTR-Kosten_KTR Strecke" xfId="364" xr:uid="{00000000-0005-0000-0000-000057010000}"/>
    <cellStyle name="_Column4_KTR An-Abflug" xfId="365" xr:uid="{00000000-0005-0000-0000-000058010000}"/>
    <cellStyle name="_Column4_KTR An-Abflug_BAV" xfId="366" xr:uid="{00000000-0005-0000-0000-000059010000}"/>
    <cellStyle name="_Column4_KTR An-Abflug_Enroute" xfId="367" xr:uid="{00000000-0005-0000-0000-00005A010000}"/>
    <cellStyle name="_Column4_KTR An-Abflug_KTR An-Abflug" xfId="368" xr:uid="{00000000-0005-0000-0000-00005B010000}"/>
    <cellStyle name="_Column4_KTR An-Abflug_KTR Strecke" xfId="369" xr:uid="{00000000-0005-0000-0000-00005C010000}"/>
    <cellStyle name="_Column4_KTR Strecke" xfId="370" xr:uid="{00000000-0005-0000-0000-00005D010000}"/>
    <cellStyle name="_Column4_KTR Strecke_KTR An-Abflug" xfId="371" xr:uid="{00000000-0005-0000-0000-00005E010000}"/>
    <cellStyle name="_Column4_KTR Strecke_KTR Strecke" xfId="372" xr:uid="{00000000-0005-0000-0000-00005F010000}"/>
    <cellStyle name="_Column4_Leipzig" xfId="373" xr:uid="{00000000-0005-0000-0000-000060010000}"/>
    <cellStyle name="_Column4_MIS_DFS1" xfId="374" xr:uid="{00000000-0005-0000-0000-000061010000}"/>
    <cellStyle name="_Column4_MIS_DFS1_KTR An-Abflug" xfId="375" xr:uid="{00000000-0005-0000-0000-000062010000}"/>
    <cellStyle name="_Column4_MIS_DFS1_KTR Strecke" xfId="376" xr:uid="{00000000-0005-0000-0000-000063010000}"/>
    <cellStyle name="_Column4_MIS_DFS2" xfId="377" xr:uid="{00000000-0005-0000-0000-000064010000}"/>
    <cellStyle name="_Column4_MIS_DFS2_KTR An-Abflug" xfId="378" xr:uid="{00000000-0005-0000-0000-000065010000}"/>
    <cellStyle name="_Column4_MIS_DFS2_KTR Strecke" xfId="379" xr:uid="{00000000-0005-0000-0000-000066010000}"/>
    <cellStyle name="_Column4_Münster Osnabrück" xfId="380" xr:uid="{00000000-0005-0000-0000-000067010000}"/>
    <cellStyle name="_Column4_Nürnberg" xfId="381" xr:uid="{00000000-0005-0000-0000-000068010000}"/>
    <cellStyle name="_Column4_Schlüssel BNV" xfId="383" xr:uid="{00000000-0005-0000-0000-00006A010000}"/>
    <cellStyle name="_Column4_Schlüssel BNV_Additional information tables" xfId="384" xr:uid="{00000000-0005-0000-0000-00006B010000}"/>
    <cellStyle name="_Column4_Schlüssel BNV_Berechnung CoC nach CAPM" xfId="385" xr:uid="{00000000-0005-0000-0000-00006C010000}"/>
    <cellStyle name="_Column4_Schlüssel BNV_Berechnung CoC nach CAPM_KTR An-Abflug" xfId="386" xr:uid="{00000000-0005-0000-0000-00006D010000}"/>
    <cellStyle name="_Column4_Schlüssel BNV_Berechnung CoC nach CAPM_KTR Strecke" xfId="387" xr:uid="{00000000-0005-0000-0000-00006E010000}"/>
    <cellStyle name="_Column4_Schlüssel BNV_KTR An-Abflug" xfId="388" xr:uid="{00000000-0005-0000-0000-00006F010000}"/>
    <cellStyle name="_Column4_Schlüssel BNV_KTR Strecke" xfId="389" xr:uid="{00000000-0005-0000-0000-000070010000}"/>
    <cellStyle name="_Column4_Schlüssel BNV_Regulatory AssetBase mit Ist 13" xfId="390" xr:uid="{00000000-0005-0000-0000-000071010000}"/>
    <cellStyle name="_Column4_Schlüssel BNV_Regulatory AssetBase mit Ist 13_KTR An-Abflug" xfId="391" xr:uid="{00000000-0005-0000-0000-000072010000}"/>
    <cellStyle name="_Column4_Schlüssel BNV_Regulatory AssetBase mit Ist 13_KTR Strecke" xfId="392" xr:uid="{00000000-0005-0000-0000-000073010000}"/>
    <cellStyle name="_Column4_Schlüssel BNV_Tabellarische Darstellung" xfId="393" xr:uid="{00000000-0005-0000-0000-000074010000}"/>
    <cellStyle name="_Column4_Schlüssel BNV_Tabellarische Darstellung_KTR An-Abflug" xfId="394" xr:uid="{00000000-0005-0000-0000-000075010000}"/>
    <cellStyle name="_Column4_Schlüssel BNV_Tabellarische Darstellung_KTR Strecke" xfId="395" xr:uid="{00000000-0005-0000-0000-000076010000}"/>
    <cellStyle name="_Column4_Stuttgart" xfId="396" xr:uid="{00000000-0005-0000-0000-000077010000}"/>
    <cellStyle name="_Column4_Saarbrücken" xfId="382" xr:uid="{00000000-0005-0000-0000-000069010000}"/>
    <cellStyle name="_Column4_Tabelle1" xfId="397" xr:uid="{00000000-0005-0000-0000-000078010000}"/>
    <cellStyle name="_Column4_Tabelle1_KTR An-Abflug" xfId="398" xr:uid="{00000000-0005-0000-0000-000079010000}"/>
    <cellStyle name="_Column4_Tabelle1_KTR Strecke" xfId="399" xr:uid="{00000000-0005-0000-0000-00007A010000}"/>
    <cellStyle name="_Column4_Tabelle2" xfId="400" xr:uid="{00000000-0005-0000-0000-00007B010000}"/>
    <cellStyle name="_Column4_Table 1 ANSP" xfId="401" xr:uid="{00000000-0005-0000-0000-00007C010000}"/>
    <cellStyle name="_Column4_TABLE 2" xfId="402" xr:uid="{00000000-0005-0000-0000-00007D010000}"/>
    <cellStyle name="_Column4_TABLE 2 DFS" xfId="403" xr:uid="{00000000-0005-0000-0000-00007E010000}"/>
    <cellStyle name="_Column4_TWR TXL_BER" xfId="404" xr:uid="{00000000-0005-0000-0000-00007F010000}"/>
    <cellStyle name="_Column4_TWR TXL_BER_Berlin BBI 2" xfId="405" xr:uid="{00000000-0005-0000-0000-000080010000}"/>
    <cellStyle name="_Column4_TWR TXL_BER_Bremen 2" xfId="406" xr:uid="{00000000-0005-0000-0000-000081010000}"/>
    <cellStyle name="_Column4_TWR TXL_BER_Dresden2" xfId="407" xr:uid="{00000000-0005-0000-0000-000082010000}"/>
    <cellStyle name="_Column4_TWR TXL_BER_Düsseldorf  2" xfId="408" xr:uid="{00000000-0005-0000-0000-000083010000}"/>
    <cellStyle name="_Column4_TWR TXL_BER_Erfurt 2" xfId="409" xr:uid="{00000000-0005-0000-0000-000084010000}"/>
    <cellStyle name="_Column4_TWR TXL_BER_Frankfurt 2" xfId="410" xr:uid="{00000000-0005-0000-0000-000085010000}"/>
    <cellStyle name="_Column4_TWR TXL_BER_Hamburg 2" xfId="411" xr:uid="{00000000-0005-0000-0000-000086010000}"/>
    <cellStyle name="_Column4_TWR TXL_BER_Hannover 2" xfId="412" xr:uid="{00000000-0005-0000-0000-000087010000}"/>
    <cellStyle name="_Column4_TWR TXL_BER_Köln Bonn 2" xfId="413" xr:uid="{00000000-0005-0000-0000-000088010000}"/>
    <cellStyle name="_Column4_TWR TXL_BER_Leipzig 2" xfId="414" xr:uid="{00000000-0005-0000-0000-000089010000}"/>
    <cellStyle name="_Column4_TWR TXL_BER_München 2" xfId="415" xr:uid="{00000000-0005-0000-0000-00008A010000}"/>
    <cellStyle name="_Column4_TWR TXL_BER_Münster 2" xfId="416" xr:uid="{00000000-0005-0000-0000-00008B010000}"/>
    <cellStyle name="_Column4_TWR TXL_BER_Nürnberg 2" xfId="417" xr:uid="{00000000-0005-0000-0000-00008C010000}"/>
    <cellStyle name="_Column4_TWR TXL_BER_Stuttgart 2" xfId="419" xr:uid="{00000000-0005-0000-0000-00008E010000}"/>
    <cellStyle name="_Column4_TWR TXL_BER_Saarbrücken 2" xfId="418" xr:uid="{00000000-0005-0000-0000-00008D010000}"/>
    <cellStyle name="_Column4_Werte aktualisieren" xfId="436" xr:uid="{00000000-0005-0000-0000-00009F010000}"/>
    <cellStyle name="_Column4_Überleitung ins EU-Berichtswesen" xfId="420" xr:uid="{00000000-0005-0000-0000-00008F010000}"/>
    <cellStyle name="_Column4_Überleitung ins EU-Berichtswesen_KTR An-Abflug" xfId="421" xr:uid="{00000000-0005-0000-0000-000090010000}"/>
    <cellStyle name="_Column4_Überleitung ins EU-Berichtswesen_KTR Strecke" xfId="422" xr:uid="{00000000-0005-0000-0000-000091010000}"/>
    <cellStyle name="_Column4_Übersicht Modelle" xfId="423" xr:uid="{00000000-0005-0000-0000-000092010000}"/>
    <cellStyle name="_Column4_Übersicht Modelle_Additional information tables" xfId="424" xr:uid="{00000000-0005-0000-0000-000093010000}"/>
    <cellStyle name="_Column4_Übersicht Modelle_Berechnung CoC nach CAPM" xfId="425" xr:uid="{00000000-0005-0000-0000-000094010000}"/>
    <cellStyle name="_Column4_Übersicht Modelle_Berechnung CoC nach CAPM_KTR An-Abflug" xfId="426" xr:uid="{00000000-0005-0000-0000-000095010000}"/>
    <cellStyle name="_Column4_Übersicht Modelle_Berechnung CoC nach CAPM_KTR Strecke" xfId="427" xr:uid="{00000000-0005-0000-0000-000096010000}"/>
    <cellStyle name="_Column4_Übersicht Modelle_KTR An-Abflug" xfId="428" xr:uid="{00000000-0005-0000-0000-000097010000}"/>
    <cellStyle name="_Column4_Übersicht Modelle_KTR Strecke" xfId="429" xr:uid="{00000000-0005-0000-0000-000098010000}"/>
    <cellStyle name="_Column4_Übersicht Modelle_Regulatory AssetBase mit Ist 13" xfId="430" xr:uid="{00000000-0005-0000-0000-000099010000}"/>
    <cellStyle name="_Column4_Übersicht Modelle_Regulatory AssetBase mit Ist 13_KTR An-Abflug" xfId="431" xr:uid="{00000000-0005-0000-0000-00009A010000}"/>
    <cellStyle name="_Column4_Übersicht Modelle_Regulatory AssetBase mit Ist 13_KTR Strecke" xfId="432" xr:uid="{00000000-0005-0000-0000-00009B010000}"/>
    <cellStyle name="_Column4_Übersicht Modelle_Tabellarische Darstellung" xfId="433" xr:uid="{00000000-0005-0000-0000-00009C010000}"/>
    <cellStyle name="_Column4_Übersicht Modelle_Tabellarische Darstellung_KTR An-Abflug" xfId="434" xr:uid="{00000000-0005-0000-0000-00009D010000}"/>
    <cellStyle name="_Column4_Übersicht Modelle_Tabellarische Darstellung_KTR Strecke" xfId="435" xr:uid="{00000000-0005-0000-0000-00009E010000}"/>
    <cellStyle name="_Column4_Zsfssg" xfId="437" xr:uid="{00000000-0005-0000-0000-0000A0010000}"/>
    <cellStyle name="_Column5" xfId="438" xr:uid="{00000000-0005-0000-0000-0000A1010000}"/>
    <cellStyle name="_Column5_Aufteilung TWR-Standorte_2010" xfId="439" xr:uid="{00000000-0005-0000-0000-0000A2010000}"/>
    <cellStyle name="_Column5_Bruecke" xfId="441" xr:uid="{00000000-0005-0000-0000-0000A4010000}"/>
    <cellStyle name="_Column5_Brücke" xfId="440" xr:uid="{00000000-0005-0000-0000-0000A3010000}"/>
    <cellStyle name="_Column5_DB_Bereich" xfId="442" xr:uid="{00000000-0005-0000-0000-0000A5010000}"/>
    <cellStyle name="_Column5_Ek Preisfinanziert" xfId="443" xr:uid="{00000000-0005-0000-0000-0000A6010000}"/>
    <cellStyle name="_Column5_Ermittlung Überdeckung-vorl JA" xfId="444" xr:uid="{00000000-0005-0000-0000-0000A7010000}"/>
    <cellStyle name="_Column5_Gebührenbilanz - Aufbau" xfId="445" xr:uid="{00000000-0005-0000-0000-0000A8010000}"/>
    <cellStyle name="_Column5_KER" xfId="446" xr:uid="{00000000-0005-0000-0000-0000A9010000}"/>
    <cellStyle name="_Column5_KER-2007-Überdeckung mit ALEA-mit KTR-Kosten-Herleitung (feste Werte)" xfId="447" xr:uid="{00000000-0005-0000-0000-0000AA010000}"/>
    <cellStyle name="_Column5_KER-2011-Überdeckung mit ALEA-mit KTR-Kosten" xfId="448" xr:uid="{00000000-0005-0000-0000-0000AB010000}"/>
    <cellStyle name="_Column5_MIS_DFS1" xfId="449" xr:uid="{00000000-0005-0000-0000-0000AC010000}"/>
    <cellStyle name="_Column5_MIS_DFS2" xfId="450" xr:uid="{00000000-0005-0000-0000-0000AD010000}"/>
    <cellStyle name="_Column5_Tabelle1" xfId="451" xr:uid="{00000000-0005-0000-0000-0000AE010000}"/>
    <cellStyle name="_Column5_TWR TXL_BER" xfId="452" xr:uid="{00000000-0005-0000-0000-0000AF010000}"/>
    <cellStyle name="_Column5_Überleitung ins EU-Berichtswesen" xfId="453" xr:uid="{00000000-0005-0000-0000-0000B0010000}"/>
    <cellStyle name="_Column6" xfId="454" xr:uid="{00000000-0005-0000-0000-0000B1010000}"/>
    <cellStyle name="_Column6_Aufteilung TWR-Standorte_2010" xfId="455" xr:uid="{00000000-0005-0000-0000-0000B2010000}"/>
    <cellStyle name="_Column6_Bruecke" xfId="457" xr:uid="{00000000-0005-0000-0000-0000B4010000}"/>
    <cellStyle name="_Column6_Brücke" xfId="456" xr:uid="{00000000-0005-0000-0000-0000B3010000}"/>
    <cellStyle name="_Column6_DB_Bereich" xfId="458" xr:uid="{00000000-0005-0000-0000-0000B5010000}"/>
    <cellStyle name="_Column6_Ek Preisfinanziert" xfId="459" xr:uid="{00000000-0005-0000-0000-0000B6010000}"/>
    <cellStyle name="_Column6_Ermittlung Überdeckung-vorl JA" xfId="460" xr:uid="{00000000-0005-0000-0000-0000B7010000}"/>
    <cellStyle name="_Column6_Gebührenbilanz - Aufbau" xfId="461" xr:uid="{00000000-0005-0000-0000-0000B8010000}"/>
    <cellStyle name="_Column6_KER" xfId="462" xr:uid="{00000000-0005-0000-0000-0000B9010000}"/>
    <cellStyle name="_Column6_KER-2007-Überdeckung mit ALEA-mit KTR-Kosten-Herleitung (feste Werte)" xfId="463" xr:uid="{00000000-0005-0000-0000-0000BA010000}"/>
    <cellStyle name="_Column6_KER-2011-Überdeckung mit ALEA-mit KTR-Kosten" xfId="464" xr:uid="{00000000-0005-0000-0000-0000BB010000}"/>
    <cellStyle name="_Column6_MIS_DFS1" xfId="465" xr:uid="{00000000-0005-0000-0000-0000BC010000}"/>
    <cellStyle name="_Column6_MIS_DFS2" xfId="466" xr:uid="{00000000-0005-0000-0000-0000BD010000}"/>
    <cellStyle name="_Column6_Tabelle1" xfId="467" xr:uid="{00000000-0005-0000-0000-0000BE010000}"/>
    <cellStyle name="_Column6_TWR TXL_BER" xfId="468" xr:uid="{00000000-0005-0000-0000-0000BF010000}"/>
    <cellStyle name="_Column6_Überleitung ins EU-Berichtswesen" xfId="469" xr:uid="{00000000-0005-0000-0000-0000C0010000}"/>
    <cellStyle name="_Column7" xfId="470" xr:uid="{00000000-0005-0000-0000-0000C1010000}"/>
    <cellStyle name="_Column7_Aufteilung TWR-Standorte_2010" xfId="471" xr:uid="{00000000-0005-0000-0000-0000C2010000}"/>
    <cellStyle name="_Column7_Bruecke" xfId="473" xr:uid="{00000000-0005-0000-0000-0000C4010000}"/>
    <cellStyle name="_Column7_Brücke" xfId="472" xr:uid="{00000000-0005-0000-0000-0000C3010000}"/>
    <cellStyle name="_Column7_DB_Bereich" xfId="474" xr:uid="{00000000-0005-0000-0000-0000C5010000}"/>
    <cellStyle name="_Column7_Ek Preisfinanziert" xfId="475" xr:uid="{00000000-0005-0000-0000-0000C6010000}"/>
    <cellStyle name="_Column7_Ermittlung Überdeckung-vorl JA" xfId="476" xr:uid="{00000000-0005-0000-0000-0000C7010000}"/>
    <cellStyle name="_Column7_Gebührenbilanz - Aufbau" xfId="477" xr:uid="{00000000-0005-0000-0000-0000C8010000}"/>
    <cellStyle name="_Column7_KER" xfId="478" xr:uid="{00000000-0005-0000-0000-0000C9010000}"/>
    <cellStyle name="_Column7_KER-2007-Überdeckung mit ALEA-mit KTR-Kosten-Herleitung (feste Werte)" xfId="479" xr:uid="{00000000-0005-0000-0000-0000CA010000}"/>
    <cellStyle name="_Column7_KER-2011-Überdeckung mit ALEA-mit KTR-Kosten" xfId="480" xr:uid="{00000000-0005-0000-0000-0000CB010000}"/>
    <cellStyle name="_Column7_MIS_DFS1" xfId="481" xr:uid="{00000000-0005-0000-0000-0000CC010000}"/>
    <cellStyle name="_Column7_MIS_DFS2" xfId="482" xr:uid="{00000000-0005-0000-0000-0000CD010000}"/>
    <cellStyle name="_Column7_Tabelle1" xfId="483" xr:uid="{00000000-0005-0000-0000-0000CE010000}"/>
    <cellStyle name="_Column7_TWR TXL_BER" xfId="484" xr:uid="{00000000-0005-0000-0000-0000CF010000}"/>
    <cellStyle name="_Column7_Überleitung ins EU-Berichtswesen" xfId="485" xr:uid="{00000000-0005-0000-0000-0000D0010000}"/>
    <cellStyle name="_Compensation gratuité musées 2011" xfId="486" xr:uid="{00000000-0005-0000-0000-0000D1010000}"/>
    <cellStyle name="_CONCATENATION - DEFINITIF 13 avril" xfId="487" xr:uid="{00000000-0005-0000-0000-0000D2010000}"/>
    <cellStyle name="_CONCATENATION - DEFINITIF 13 avril_PLF 2012 - MCC - Arbitrages" xfId="488" xr:uid="{00000000-0005-0000-0000-0000D3010000}"/>
    <cellStyle name="_CONSTANT (A3)" xfId="489" xr:uid="{00000000-0005-0000-0000-0000D4010000}"/>
    <cellStyle name="_Copie de 7BA_BG_AGRI_PMT (feuilles opérateurs)" xfId="490" xr:uid="{00000000-0005-0000-0000-0000D5010000}"/>
    <cellStyle name="_CP" xfId="491" xr:uid="{00000000-0005-0000-0000-0000D6010000}"/>
    <cellStyle name="_CPM lot 1" xfId="492" xr:uid="{00000000-0005-0000-0000-0000D7010000}"/>
    <cellStyle name="_CPM lot 1_PLF 2012 - MCC - Arbitrages" xfId="493" xr:uid="{00000000-0005-0000-0000-0000D8010000}"/>
    <cellStyle name="_CPM lot 1_Triennal 2011-2013 détaillé V11" xfId="494" xr:uid="{00000000-0005-0000-0000-0000D9010000}"/>
    <cellStyle name="_CPM lot 1_Triennal 2011-2013 détaillé V11_PLF 2012 - MCC - Arbitrages" xfId="495" xr:uid="{00000000-0005-0000-0000-0000DA010000}"/>
    <cellStyle name="_CPM lot 3" xfId="496" xr:uid="{00000000-0005-0000-0000-0000DB010000}"/>
    <cellStyle name="_CPM lot 3_PLF 2012 - MCC - Arbitrages" xfId="497" xr:uid="{00000000-0005-0000-0000-0000DC010000}"/>
    <cellStyle name="_CPM lot 3_Triennal 2011-2013 détaillé V11" xfId="498" xr:uid="{00000000-0005-0000-0000-0000DD010000}"/>
    <cellStyle name="_CPM lot 3_Triennal 2011-2013 détaillé V11_PLF 2012 - MCC - Arbitrages" xfId="499" xr:uid="{00000000-0005-0000-0000-0000DE010000}"/>
    <cellStyle name="_CPM lot 4" xfId="500" xr:uid="{00000000-0005-0000-0000-0000DF010000}"/>
    <cellStyle name="_CPM lot 4_PLF 2012 - MCC - Arbitrages" xfId="501" xr:uid="{00000000-0005-0000-0000-0000E0010000}"/>
    <cellStyle name="_CPM lot 4_Triennal 2011-2013 détaillé V11" xfId="502" xr:uid="{00000000-0005-0000-0000-0000E1010000}"/>
    <cellStyle name="_CPM lot 4_Triennal 2011-2013 détaillé V11_PLF 2012 - MCC - Arbitrages" xfId="503" xr:uid="{00000000-0005-0000-0000-0000E2010000}"/>
    <cellStyle name="_Data" xfId="504" xr:uid="{00000000-0005-0000-0000-0000E3010000}"/>
    <cellStyle name="_Data_An-Abflug" xfId="505" xr:uid="{00000000-0005-0000-0000-0000E4010000}"/>
    <cellStyle name="_Data_bAV je KTR" xfId="506" xr:uid="{00000000-0005-0000-0000-0000E5010000}"/>
    <cellStyle name="_Data_Berechnung CoC nach CAPM" xfId="507" xr:uid="{00000000-0005-0000-0000-0000E6010000}"/>
    <cellStyle name="_Data_Bruecke" xfId="521" xr:uid="{00000000-0005-0000-0000-0000F4010000}"/>
    <cellStyle name="_Data_Brücke" xfId="508" xr:uid="{00000000-0005-0000-0000-0000E7010000}"/>
    <cellStyle name="_Data_Brücke Mifri" xfId="509" xr:uid="{00000000-0005-0000-0000-0000E8010000}"/>
    <cellStyle name="_Data_Brücke RP" xfId="510" xr:uid="{00000000-0005-0000-0000-0000E9010000}"/>
    <cellStyle name="_Data_Brücke_Pc-Prod" xfId="511" xr:uid="{00000000-0005-0000-0000-0000EA010000}"/>
    <cellStyle name="_Data_Brücke_Pc-Prod_bAV je KTR" xfId="512" xr:uid="{00000000-0005-0000-0000-0000EB010000}"/>
    <cellStyle name="_Data_Brücke_Pc-Prod_bAV je KTR_KTR An-Abflug" xfId="513" xr:uid="{00000000-0005-0000-0000-0000EC010000}"/>
    <cellStyle name="_Data_Brücke_Pc-Prod_bAV je KTR_KTR Strecke" xfId="514" xr:uid="{00000000-0005-0000-0000-0000ED010000}"/>
    <cellStyle name="_Data_Brücke_Pc-Prod_Brücke Mifri" xfId="515" xr:uid="{00000000-0005-0000-0000-0000EE010000}"/>
    <cellStyle name="_Data_Brücke_Pc-Prod_Brücke RP" xfId="516" xr:uid="{00000000-0005-0000-0000-0000EF010000}"/>
    <cellStyle name="_Data_Brücke_Pc-Prod_EU-BW" xfId="517" xr:uid="{00000000-0005-0000-0000-0000F0010000}"/>
    <cellStyle name="_Data_Brücke_Pc-Prod_EU-BW_KTR An-Abflug" xfId="518" xr:uid="{00000000-0005-0000-0000-0000F1010000}"/>
    <cellStyle name="_Data_Brücke_Pc-Prod_EU-BW_KTR Strecke" xfId="519" xr:uid="{00000000-0005-0000-0000-0000F2010000}"/>
    <cellStyle name="_Data_Brücke_Pc-Prod_KTR An-Abflug" xfId="520" xr:uid="{00000000-0005-0000-0000-0000F3010000}"/>
    <cellStyle name="_Data_Datenbasis-DFS_SAP-DFS2.2014" xfId="522" xr:uid="{00000000-0005-0000-0000-0000F5010000}"/>
    <cellStyle name="_Data_Datenbasis-STRECKE_SAP-DFS2.201" xfId="523" xr:uid="{00000000-0005-0000-0000-0000F6010000}"/>
    <cellStyle name="_Data_Druck 5j" xfId="524" xr:uid="{00000000-0005-0000-0000-0000F7010000}"/>
    <cellStyle name="_Data_Druck 5j_Brücke Mifri" xfId="525" xr:uid="{00000000-0005-0000-0000-0000F8010000}"/>
    <cellStyle name="_Data_Druck 5j_Brücke RP" xfId="526" xr:uid="{00000000-0005-0000-0000-0000F9010000}"/>
    <cellStyle name="_Data_Druck 5j_EU-BW" xfId="527" xr:uid="{00000000-0005-0000-0000-0000FA010000}"/>
    <cellStyle name="_Data_Druck 5j_EU-BW_KTR An-Abflug" xfId="528" xr:uid="{00000000-0005-0000-0000-0000FB010000}"/>
    <cellStyle name="_Data_Druck 5j_EU-BW_KTR Strecke" xfId="529" xr:uid="{00000000-0005-0000-0000-0000FC010000}"/>
    <cellStyle name="_Data_Druck 5j_KTR An-Abflug" xfId="530" xr:uid="{00000000-0005-0000-0000-0000FD010000}"/>
    <cellStyle name="_Data_Eingabe-KTR" xfId="531" xr:uid="{00000000-0005-0000-0000-0000FE010000}"/>
    <cellStyle name="_Data_Eingabe-KTR_Brücke Mifri" xfId="532" xr:uid="{00000000-0005-0000-0000-0000FF010000}"/>
    <cellStyle name="_Data_Eingabe-KTR_Brücke RP" xfId="533" xr:uid="{00000000-0005-0000-0000-000000020000}"/>
    <cellStyle name="_Data_Eingabe-KTR_EU-BW" xfId="534" xr:uid="{00000000-0005-0000-0000-000001020000}"/>
    <cellStyle name="_Data_Eingabe-KTR_EU-BW_KTR An-Abflug" xfId="535" xr:uid="{00000000-0005-0000-0000-000002020000}"/>
    <cellStyle name="_Data_Eingabe-KTR_EU-BW_KTR Strecke" xfId="536" xr:uid="{00000000-0005-0000-0000-000003020000}"/>
    <cellStyle name="_Data_Eingabe-KTR_KTR An-Abflug" xfId="537" xr:uid="{00000000-0005-0000-0000-000004020000}"/>
    <cellStyle name="_Data_Ek Preisfinanziert" xfId="538" xr:uid="{00000000-0005-0000-0000-000005020000}"/>
    <cellStyle name="_Data_Enroute" xfId="539" xr:uid="{00000000-0005-0000-0000-000006020000}"/>
    <cellStyle name="_Data_Ermittlung Überdeckung-vorl JA" xfId="540" xr:uid="{00000000-0005-0000-0000-000007020000}"/>
    <cellStyle name="_Data_Ermittlung-DFS-Zielwert-RP2" xfId="541" xr:uid="{00000000-0005-0000-0000-000008020000}"/>
    <cellStyle name="_Data_EU-BW" xfId="542" xr:uid="{00000000-0005-0000-0000-000009020000}"/>
    <cellStyle name="_Data_EU-BW_1" xfId="543" xr:uid="{00000000-0005-0000-0000-00000A020000}"/>
    <cellStyle name="_Data_EU-BW_1_KTR An-Abflug" xfId="544" xr:uid="{00000000-0005-0000-0000-00000B020000}"/>
    <cellStyle name="_Data_EU-BW_1_KTR Strecke" xfId="545" xr:uid="{00000000-0005-0000-0000-00000C020000}"/>
    <cellStyle name="_Data_EU-BW_bAV je KTR" xfId="546" xr:uid="{00000000-0005-0000-0000-00000D020000}"/>
    <cellStyle name="_Data_EU-BW_bAV je KTR_KTR An-Abflug" xfId="547" xr:uid="{00000000-0005-0000-0000-00000E020000}"/>
    <cellStyle name="_Data_EU-BW_bAV je KTR_KTR Strecke" xfId="548" xr:uid="{00000000-0005-0000-0000-00000F020000}"/>
    <cellStyle name="_Data_EU-BW_Brücke Mifri" xfId="549" xr:uid="{00000000-0005-0000-0000-000010020000}"/>
    <cellStyle name="_Data_EU-BW_Brücke RP" xfId="550" xr:uid="{00000000-0005-0000-0000-000011020000}"/>
    <cellStyle name="_Data_EU-BW_EU-BW" xfId="551" xr:uid="{00000000-0005-0000-0000-000012020000}"/>
    <cellStyle name="_Data_EU-BW_EU-BW_KTR An-Abflug" xfId="552" xr:uid="{00000000-0005-0000-0000-000013020000}"/>
    <cellStyle name="_Data_EU-BW_EU-BW_KTR Strecke" xfId="553" xr:uid="{00000000-0005-0000-0000-000014020000}"/>
    <cellStyle name="_Data_EU-BW_KTR An-Abflug" xfId="554" xr:uid="{00000000-0005-0000-0000-000015020000}"/>
    <cellStyle name="_Data_EU-Tabellen" xfId="555" xr:uid="{00000000-0005-0000-0000-000016020000}"/>
    <cellStyle name="_Data_Ford_Verbl LuL" xfId="556" xr:uid="{00000000-0005-0000-0000-000017020000}"/>
    <cellStyle name="_Data_Gebühren JP 2013 Stand 2. SV_Stand 13.12.2012" xfId="557" xr:uid="{00000000-0005-0000-0000-000018020000}"/>
    <cellStyle name="_Data_Gebührenbilanz - Aufbau" xfId="558" xr:uid="{00000000-0005-0000-0000-000019020000}"/>
    <cellStyle name="_Data_Ist" xfId="559" xr:uid="{00000000-0005-0000-0000-00001A020000}"/>
    <cellStyle name="_Data_KER" xfId="560" xr:uid="{00000000-0005-0000-0000-00001B020000}"/>
    <cellStyle name="_Data_KER-2007-Überdeckung mit ALEA-mit KTR-Kosten-Herleitung (feste Werte)" xfId="561" xr:uid="{00000000-0005-0000-0000-00001C020000}"/>
    <cellStyle name="_Data_KER-2011-Überdeckung mit ALEA-mit KTR-Kosten" xfId="562" xr:uid="{00000000-0005-0000-0000-00001D020000}"/>
    <cellStyle name="_Data_KTR An-Abflug" xfId="563" xr:uid="{00000000-0005-0000-0000-00001E020000}"/>
    <cellStyle name="_Data_KTR An-Abflug_1" xfId="564" xr:uid="{00000000-0005-0000-0000-00001F020000}"/>
    <cellStyle name="_Data_KTR Strecke" xfId="565" xr:uid="{00000000-0005-0000-0000-000020020000}"/>
    <cellStyle name="_Data_MER-210704" xfId="566" xr:uid="{00000000-0005-0000-0000-000021020000}"/>
    <cellStyle name="_Data_MER-210704_bAV je KTR" xfId="567" xr:uid="{00000000-0005-0000-0000-000022020000}"/>
    <cellStyle name="_Data_MER-210704_bAV je KTR_KTR An-Abflug" xfId="568" xr:uid="{00000000-0005-0000-0000-000023020000}"/>
    <cellStyle name="_Data_MER-210704_bAV je KTR_KTR Strecke" xfId="569" xr:uid="{00000000-0005-0000-0000-000024020000}"/>
    <cellStyle name="_Data_MER-210704_Brücke Mifri" xfId="570" xr:uid="{00000000-0005-0000-0000-000025020000}"/>
    <cellStyle name="_Data_MER-210704_Brücke RP" xfId="571" xr:uid="{00000000-0005-0000-0000-000026020000}"/>
    <cellStyle name="_Data_MER-210704_EU-BW" xfId="572" xr:uid="{00000000-0005-0000-0000-000027020000}"/>
    <cellStyle name="_Data_MER-210704_EU-BW_KTR An-Abflug" xfId="573" xr:uid="{00000000-0005-0000-0000-000028020000}"/>
    <cellStyle name="_Data_MER-210704_EU-BW_KTR Strecke" xfId="574" xr:uid="{00000000-0005-0000-0000-000029020000}"/>
    <cellStyle name="_Data_MER-210704_KTR An-Abflug" xfId="575" xr:uid="{00000000-0005-0000-0000-00002A020000}"/>
    <cellStyle name="_Data_MIS_DFS1" xfId="576" xr:uid="{00000000-0005-0000-0000-00002B020000}"/>
    <cellStyle name="_Data_MIS_DFS1_bAV je KTR" xfId="577" xr:uid="{00000000-0005-0000-0000-00002C020000}"/>
    <cellStyle name="_Data_MIS_DFS1_bAV je KTR_KTR An-Abflug" xfId="578" xr:uid="{00000000-0005-0000-0000-00002D020000}"/>
    <cellStyle name="_Data_MIS_DFS1_bAV je KTR_KTR Strecke" xfId="579" xr:uid="{00000000-0005-0000-0000-00002E020000}"/>
    <cellStyle name="_Data_MIS_DFS1_Brücke Mifri" xfId="580" xr:uid="{00000000-0005-0000-0000-00002F020000}"/>
    <cellStyle name="_Data_MIS_DFS1_Brücke RP" xfId="581" xr:uid="{00000000-0005-0000-0000-000030020000}"/>
    <cellStyle name="_Data_MIS_DFS1_EU-BW" xfId="582" xr:uid="{00000000-0005-0000-0000-000031020000}"/>
    <cellStyle name="_Data_MIS_DFS1_EU-BW_KTR An-Abflug" xfId="583" xr:uid="{00000000-0005-0000-0000-000032020000}"/>
    <cellStyle name="_Data_MIS_DFS1_EU-BW_KTR Strecke" xfId="584" xr:uid="{00000000-0005-0000-0000-000033020000}"/>
    <cellStyle name="_Data_MIS_DFS1_KTR An-Abflug" xfId="585" xr:uid="{00000000-0005-0000-0000-000034020000}"/>
    <cellStyle name="_Data_MIS_DFS16" xfId="586" xr:uid="{00000000-0005-0000-0000-000035020000}"/>
    <cellStyle name="_Data_MIS_DFS16_bAV je KTR" xfId="587" xr:uid="{00000000-0005-0000-0000-000036020000}"/>
    <cellStyle name="_Data_MIS_DFS16_bAV je KTR_KTR An-Abflug" xfId="588" xr:uid="{00000000-0005-0000-0000-000037020000}"/>
    <cellStyle name="_Data_MIS_DFS16_bAV je KTR_KTR Strecke" xfId="589" xr:uid="{00000000-0005-0000-0000-000038020000}"/>
    <cellStyle name="_Data_MIS_DFS16_Brücke Mifri" xfId="590" xr:uid="{00000000-0005-0000-0000-000039020000}"/>
    <cellStyle name="_Data_MIS_DFS16_Brücke RP" xfId="591" xr:uid="{00000000-0005-0000-0000-00003A020000}"/>
    <cellStyle name="_Data_MIS_DFS16_EU-BW" xfId="592" xr:uid="{00000000-0005-0000-0000-00003B020000}"/>
    <cellStyle name="_Data_MIS_DFS16_EU-BW_KTR An-Abflug" xfId="593" xr:uid="{00000000-0005-0000-0000-00003C020000}"/>
    <cellStyle name="_Data_MIS_DFS16_EU-BW_KTR Strecke" xfId="594" xr:uid="{00000000-0005-0000-0000-00003D020000}"/>
    <cellStyle name="_Data_MIS_DFS16_KTR An-Abflug" xfId="595" xr:uid="{00000000-0005-0000-0000-00003E020000}"/>
    <cellStyle name="_Data_MIS_DFS18" xfId="596" xr:uid="{00000000-0005-0000-0000-00003F020000}"/>
    <cellStyle name="_Data_MIS_DFS18_bAV je KTR" xfId="597" xr:uid="{00000000-0005-0000-0000-000040020000}"/>
    <cellStyle name="_Data_MIS_DFS18_bAV je KTR_KTR An-Abflug" xfId="598" xr:uid="{00000000-0005-0000-0000-000041020000}"/>
    <cellStyle name="_Data_MIS_DFS18_bAV je KTR_KTR Strecke" xfId="599" xr:uid="{00000000-0005-0000-0000-000042020000}"/>
    <cellStyle name="_Data_MIS_DFS18_Brücke Mifri" xfId="600" xr:uid="{00000000-0005-0000-0000-000043020000}"/>
    <cellStyle name="_Data_MIS_DFS18_Brücke RP" xfId="601" xr:uid="{00000000-0005-0000-0000-000044020000}"/>
    <cellStyle name="_Data_MIS_DFS18_EU-BW" xfId="602" xr:uid="{00000000-0005-0000-0000-000045020000}"/>
    <cellStyle name="_Data_MIS_DFS18_EU-BW_KTR An-Abflug" xfId="603" xr:uid="{00000000-0005-0000-0000-000046020000}"/>
    <cellStyle name="_Data_MIS_DFS18_EU-BW_KTR Strecke" xfId="604" xr:uid="{00000000-0005-0000-0000-000047020000}"/>
    <cellStyle name="_Data_MIS_DFS18_KTR An-Abflug" xfId="605" xr:uid="{00000000-0005-0000-0000-000048020000}"/>
    <cellStyle name="_Data_MIS_DFS3" xfId="606" xr:uid="{00000000-0005-0000-0000-000049020000}"/>
    <cellStyle name="_Data_MIS_DFS3_bAV je KTR" xfId="607" xr:uid="{00000000-0005-0000-0000-00004A020000}"/>
    <cellStyle name="_Data_MIS_DFS3_bAV je KTR_KTR An-Abflug" xfId="608" xr:uid="{00000000-0005-0000-0000-00004B020000}"/>
    <cellStyle name="_Data_MIS_DFS3_bAV je KTR_KTR Strecke" xfId="609" xr:uid="{00000000-0005-0000-0000-00004C020000}"/>
    <cellStyle name="_Data_MIS_DFS3_Brücke Mifri" xfId="610" xr:uid="{00000000-0005-0000-0000-00004D020000}"/>
    <cellStyle name="_Data_MIS_DFS3_Brücke RP" xfId="611" xr:uid="{00000000-0005-0000-0000-00004E020000}"/>
    <cellStyle name="_Data_MIS_DFS3_EU-BW" xfId="612" xr:uid="{00000000-0005-0000-0000-00004F020000}"/>
    <cellStyle name="_Data_MIS_DFS3_EU-BW_KTR An-Abflug" xfId="613" xr:uid="{00000000-0005-0000-0000-000050020000}"/>
    <cellStyle name="_Data_MIS_DFS3_EU-BW_KTR Strecke" xfId="614" xr:uid="{00000000-0005-0000-0000-000051020000}"/>
    <cellStyle name="_Data_MIS_DFS3_KTR An-Abflug" xfId="615" xr:uid="{00000000-0005-0000-0000-000052020000}"/>
    <cellStyle name="_Data_MIS_DFS5" xfId="616" xr:uid="{00000000-0005-0000-0000-000053020000}"/>
    <cellStyle name="_Data_MIS_DFS5_bAV je KTR" xfId="617" xr:uid="{00000000-0005-0000-0000-000054020000}"/>
    <cellStyle name="_Data_MIS_DFS5_bAV je KTR_KTR An-Abflug" xfId="618" xr:uid="{00000000-0005-0000-0000-000055020000}"/>
    <cellStyle name="_Data_MIS_DFS5_bAV je KTR_KTR Strecke" xfId="619" xr:uid="{00000000-0005-0000-0000-000056020000}"/>
    <cellStyle name="_Data_MIS_DFS5_Brücke Mifri" xfId="620" xr:uid="{00000000-0005-0000-0000-000057020000}"/>
    <cellStyle name="_Data_MIS_DFS5_Brücke RP" xfId="621" xr:uid="{00000000-0005-0000-0000-000058020000}"/>
    <cellStyle name="_Data_MIS_DFS5_EU-BW" xfId="622" xr:uid="{00000000-0005-0000-0000-000059020000}"/>
    <cellStyle name="_Data_MIS_DFS5_EU-BW_KTR An-Abflug" xfId="623" xr:uid="{00000000-0005-0000-0000-00005A020000}"/>
    <cellStyle name="_Data_MIS_DFS5_EU-BW_KTR Strecke" xfId="624" xr:uid="{00000000-0005-0000-0000-00005B020000}"/>
    <cellStyle name="_Data_MIS_DFS5_KTR An-Abflug" xfId="625" xr:uid="{00000000-0005-0000-0000-00005C020000}"/>
    <cellStyle name="_Data_MIS_DFS7" xfId="626" xr:uid="{00000000-0005-0000-0000-00005D020000}"/>
    <cellStyle name="_Data_MIS_DFS7_bAV je KTR" xfId="627" xr:uid="{00000000-0005-0000-0000-00005E020000}"/>
    <cellStyle name="_Data_MIS_DFS7_bAV je KTR_KTR An-Abflug" xfId="628" xr:uid="{00000000-0005-0000-0000-00005F020000}"/>
    <cellStyle name="_Data_MIS_DFS7_bAV je KTR_KTR Strecke" xfId="629" xr:uid="{00000000-0005-0000-0000-000060020000}"/>
    <cellStyle name="_Data_MIS_DFS7_Brücke Mifri" xfId="630" xr:uid="{00000000-0005-0000-0000-000061020000}"/>
    <cellStyle name="_Data_MIS_DFS7_Brücke RP" xfId="631" xr:uid="{00000000-0005-0000-0000-000062020000}"/>
    <cellStyle name="_Data_MIS_DFS7_EU-BW" xfId="632" xr:uid="{00000000-0005-0000-0000-000063020000}"/>
    <cellStyle name="_Data_MIS_DFS7_EU-BW_KTR An-Abflug" xfId="633" xr:uid="{00000000-0005-0000-0000-000064020000}"/>
    <cellStyle name="_Data_MIS_DFS7_EU-BW_KTR Strecke" xfId="634" xr:uid="{00000000-0005-0000-0000-000065020000}"/>
    <cellStyle name="_Data_MIS_DFS7_KTR An-Abflug" xfId="635" xr:uid="{00000000-0005-0000-0000-000066020000}"/>
    <cellStyle name="_Data_Planbilanz auf Kalkulatorik_BNV - Stand 2013 in Bearbeitung_" xfId="636" xr:uid="{00000000-0005-0000-0000-000067020000}"/>
    <cellStyle name="_Data_Regulatory AssetBase mit Ist 13" xfId="637" xr:uid="{00000000-0005-0000-0000-000068020000}"/>
    <cellStyle name="_Data_Strecke" xfId="638" xr:uid="{00000000-0005-0000-0000-000069020000}"/>
    <cellStyle name="_Data_Szenario CoC ohne adjustments" xfId="639" xr:uid="{00000000-0005-0000-0000-00006A020000}"/>
    <cellStyle name="_Data_Tabellarische Darstellung" xfId="640" xr:uid="{00000000-0005-0000-0000-00006B020000}"/>
    <cellStyle name="_Data_Table 1 ANSP" xfId="641" xr:uid="{00000000-0005-0000-0000-00006C020000}"/>
    <cellStyle name="_Data_TABLE 2" xfId="642" xr:uid="{00000000-0005-0000-0000-00006D020000}"/>
    <cellStyle name="_Data_TABLE 2 DFS" xfId="643" xr:uid="{00000000-0005-0000-0000-00006E020000}"/>
    <cellStyle name="_Data_TWR TXL_BER" xfId="644" xr:uid="{00000000-0005-0000-0000-00006F020000}"/>
    <cellStyle name="_Data_Werte aktualisieren" xfId="646" xr:uid="{00000000-0005-0000-0000-000071020000}"/>
    <cellStyle name="_Data_Werte aktualisieren_bAV je KTR" xfId="647" xr:uid="{00000000-0005-0000-0000-000072020000}"/>
    <cellStyle name="_Data_Werte aktualisieren_bAV je KTR_KTR An-Abflug" xfId="648" xr:uid="{00000000-0005-0000-0000-000073020000}"/>
    <cellStyle name="_Data_Werte aktualisieren_bAV je KTR_KTR Strecke" xfId="649" xr:uid="{00000000-0005-0000-0000-000074020000}"/>
    <cellStyle name="_Data_Werte aktualisieren_Brücke Mifri" xfId="650" xr:uid="{00000000-0005-0000-0000-000075020000}"/>
    <cellStyle name="_Data_Werte aktualisieren_Brücke RP" xfId="651" xr:uid="{00000000-0005-0000-0000-000076020000}"/>
    <cellStyle name="_Data_Werte aktualisieren_EU-BW" xfId="652" xr:uid="{00000000-0005-0000-0000-000077020000}"/>
    <cellStyle name="_Data_Werte aktualisieren_EU-BW_KTR An-Abflug" xfId="653" xr:uid="{00000000-0005-0000-0000-000078020000}"/>
    <cellStyle name="_Data_Werte aktualisieren_EU-BW_KTR Strecke" xfId="654" xr:uid="{00000000-0005-0000-0000-000079020000}"/>
    <cellStyle name="_Data_Werte aktualisieren_KTR An-Abflug" xfId="655" xr:uid="{00000000-0005-0000-0000-00007A020000}"/>
    <cellStyle name="_Data_Übersicht Modelle" xfId="645" xr:uid="{00000000-0005-0000-0000-000070020000}"/>
    <cellStyle name="_décisions Offer revew 120106 GDF 16049" xfId="656" xr:uid="{00000000-0005-0000-0000-00007B020000}"/>
    <cellStyle name="_décisions Offer revew 120106 GDF 16049 2" xfId="657" xr:uid="{00000000-0005-0000-0000-00007C020000}"/>
    <cellStyle name="_décisions Offer revew 120106 GDF 16049 3" xfId="658" xr:uid="{00000000-0005-0000-0000-00007D020000}"/>
    <cellStyle name="_Détail synthèse" xfId="659" xr:uid="{00000000-0005-0000-0000-00007E020000}"/>
    <cellStyle name="_détails prévision 2012 P175" xfId="660" xr:uid="{00000000-0005-0000-0000-00007F020000}"/>
    <cellStyle name="_Dossier de travail Conf de répartition P.207" xfId="661" xr:uid="{00000000-0005-0000-0000-000080020000}"/>
    <cellStyle name="_EDAD MB v3 vf P159" xfId="662" xr:uid="{00000000-0005-0000-0000-000081020000}"/>
    <cellStyle name="_Envoi BRS BPSS 260212 Assiettes de CAS Sup" xfId="663" xr:uid="{00000000-0005-0000-0000-000082020000}"/>
    <cellStyle name="_example template 14" xfId="664" xr:uid="{00000000-0005-0000-0000-000083020000}"/>
    <cellStyle name="_example template 14 2" xfId="665" xr:uid="{00000000-0005-0000-0000-000084020000}"/>
    <cellStyle name="_example template 14 3" xfId="666" xr:uid="{00000000-0005-0000-0000-000085020000}"/>
    <cellStyle name="_example template 14_Consistency checks v19" xfId="667" xr:uid="{00000000-0005-0000-0000-000086020000}"/>
    <cellStyle name="_example template 14_ConsistencyCheckTemplate_v26b" xfId="668" xr:uid="{00000000-0005-0000-0000-000087020000}"/>
    <cellStyle name="_example template 14_ConsistencyCheckTemplate_v27" xfId="669" xr:uid="{00000000-0005-0000-0000-000088020000}"/>
    <cellStyle name="_example template 14_Flights_PRU_STATFOR" xfId="670" xr:uid="{00000000-0005-0000-0000-000089020000}"/>
    <cellStyle name="_example template 14_MT ConsistencyCheck V19" xfId="671" xr:uid="{00000000-0005-0000-0000-00008A020000}"/>
    <cellStyle name="_Feuil1" xfId="672" xr:uid="{00000000-0005-0000-0000-00008B020000}"/>
    <cellStyle name="_Feuil2" xfId="673" xr:uid="{00000000-0005-0000-0000-00008C020000}"/>
    <cellStyle name="_Feuil2 2" xfId="674" xr:uid="{00000000-0005-0000-0000-00008D020000}"/>
    <cellStyle name="_Feuil2_2013 03 05 ANNEXES circulaire sécurisation" xfId="675" xr:uid="{00000000-0005-0000-0000-00008E020000}"/>
    <cellStyle name="_Feuil2_2013 03 05 arbitrages PLF 2014" xfId="676" xr:uid="{00000000-0005-0000-0000-00008F020000}"/>
    <cellStyle name="_Feuil2_annexe5_arbitrage_OPE" xfId="677" xr:uid="{00000000-0005-0000-0000-000090020000}"/>
    <cellStyle name="_Feuil2_annexe5_circ_OPE (2)" xfId="678" xr:uid="{00000000-0005-0000-0000-000091020000}"/>
    <cellStyle name="_Feuil2_MEDDE - dossier arbitrage PLF 2013-2015 arbitrage v1" xfId="679" xr:uid="{00000000-0005-0000-0000-000092020000}"/>
    <cellStyle name="_Feuil2_OPE_CAS pension_05juil_18h" xfId="680" xr:uid="{00000000-0005-0000-0000-000093020000}"/>
    <cellStyle name="_Feuil2_Synthèse_CAS_Pensions_17juil_22h30" xfId="681" xr:uid="{00000000-0005-0000-0000-000094020000}"/>
    <cellStyle name="_Feuil2_Synthèse_CAS_Pensions_29juin_19h" xfId="682" xr:uid="{00000000-0005-0000-0000-000095020000}"/>
    <cellStyle name="_Feuil2_Synthèse_CAS_Pensions_30juil_11h" xfId="683" xr:uid="{00000000-0005-0000-0000-000096020000}"/>
    <cellStyle name="_fichier de travail" xfId="684" xr:uid="{00000000-0005-0000-0000-000097020000}"/>
    <cellStyle name="_fichier de travail P.751" xfId="685" xr:uid="{00000000-0005-0000-0000-000098020000}"/>
    <cellStyle name="_Gage DA vf" xfId="686" xr:uid="{00000000-0005-0000-0000-000099020000}"/>
    <cellStyle name="_GRAAL phase 1 - SYNTHESE Classeur Crédits" xfId="687" xr:uid="{00000000-0005-0000-0000-00009A020000}"/>
    <cellStyle name="_Header" xfId="688" xr:uid="{00000000-0005-0000-0000-00009B020000}"/>
    <cellStyle name="_Header_Aufteilung TWR-Standorte_2010" xfId="689" xr:uid="{00000000-0005-0000-0000-00009C020000}"/>
    <cellStyle name="_Header_Bruecke" xfId="691" xr:uid="{00000000-0005-0000-0000-00009E020000}"/>
    <cellStyle name="_Header_Brücke" xfId="690" xr:uid="{00000000-0005-0000-0000-00009D020000}"/>
    <cellStyle name="_Header_DB_Bereich" xfId="692" xr:uid="{00000000-0005-0000-0000-00009F020000}"/>
    <cellStyle name="_Header_Ek Preisfinanziert" xfId="693" xr:uid="{00000000-0005-0000-0000-0000A0020000}"/>
    <cellStyle name="_Header_Ermittlung Überdeckung-vorl JA" xfId="694" xr:uid="{00000000-0005-0000-0000-0000A1020000}"/>
    <cellStyle name="_Header_Gebührenbilanz - Aufbau" xfId="695" xr:uid="{00000000-0005-0000-0000-0000A2020000}"/>
    <cellStyle name="_Header_KER" xfId="696" xr:uid="{00000000-0005-0000-0000-0000A3020000}"/>
    <cellStyle name="_Header_KER-2007-Überdeckung mit ALEA-mit KTR-Kosten-Herleitung (feste Werte)" xfId="697" xr:uid="{00000000-0005-0000-0000-0000A4020000}"/>
    <cellStyle name="_Header_KER-2011-Überdeckung mit ALEA-mit KTR-Kosten" xfId="698" xr:uid="{00000000-0005-0000-0000-0000A5020000}"/>
    <cellStyle name="_Header_MIS_DFS1" xfId="699" xr:uid="{00000000-0005-0000-0000-0000A6020000}"/>
    <cellStyle name="_Header_MIS_DFS2" xfId="700" xr:uid="{00000000-0005-0000-0000-0000A7020000}"/>
    <cellStyle name="_Header_Tabelle1" xfId="701" xr:uid="{00000000-0005-0000-0000-0000A8020000}"/>
    <cellStyle name="_Header_TWR TXL_BER" xfId="702" xr:uid="{00000000-0005-0000-0000-0000A9020000}"/>
    <cellStyle name="_Header_Überleitung ins EU-Berichtswesen" xfId="703" xr:uid="{00000000-0005-0000-0000-0000AA020000}"/>
    <cellStyle name="_Hébergement SI" xfId="704" xr:uid="{00000000-0005-0000-0000-0000AB020000}"/>
    <cellStyle name="_Hébergement SI_PLF 2012 - MCC - Arbitrages" xfId="705" xr:uid="{00000000-0005-0000-0000-0000AC020000}"/>
    <cellStyle name="_Hébergement SI_Triennal 2011-2013 détaillé V11" xfId="706" xr:uid="{00000000-0005-0000-0000-0000AD020000}"/>
    <cellStyle name="_Hébergement SI_Triennal 2011-2013 détaillé V11_PLF 2012 - MCC - Arbitrages" xfId="707" xr:uid="{00000000-0005-0000-0000-0000AE020000}"/>
    <cellStyle name="_Investissements" xfId="708" xr:uid="{00000000-0005-0000-0000-0000AF020000}"/>
    <cellStyle name="_Investissements 2" xfId="709" xr:uid="{00000000-0005-0000-0000-0000B0020000}"/>
    <cellStyle name="_Investissements 3" xfId="710" xr:uid="{00000000-0005-0000-0000-0000B1020000}"/>
    <cellStyle name="_LOT2" xfId="711" xr:uid="{00000000-0005-0000-0000-0000B2020000}"/>
    <cellStyle name="_LOT2_PLF 2012 - MCC - Arbitrages" xfId="712" xr:uid="{00000000-0005-0000-0000-0000B3020000}"/>
    <cellStyle name="_LOT2_Triennal 2011-2013 détaillé V11" xfId="713" xr:uid="{00000000-0005-0000-0000-0000B4020000}"/>
    <cellStyle name="_LOT2_Triennal 2011-2013 détaillé V11_PLF 2012 - MCC - Arbitrages" xfId="714" xr:uid="{00000000-0005-0000-0000-0000B5020000}"/>
    <cellStyle name="_LOT4 intérieur MIOMCT" xfId="715" xr:uid="{00000000-0005-0000-0000-0000B6020000}"/>
    <cellStyle name="_LOT4 intérieur MIOMCT_PLF 2012 - MCC - Arbitrages" xfId="716" xr:uid="{00000000-0005-0000-0000-0000B7020000}"/>
    <cellStyle name="_LOT4 MEEDDAT" xfId="717" xr:uid="{00000000-0005-0000-0000-0000B8020000}"/>
    <cellStyle name="_LOT4 MEEDDAT_PLF 2012 - MCC - Arbitrages" xfId="718" xr:uid="{00000000-0005-0000-0000-0000B9020000}"/>
    <cellStyle name="_Maquette classeurs de prévision 2011" xfId="719" xr:uid="{00000000-0005-0000-0000-0000BA020000}"/>
    <cellStyle name="_Maquette classeurs de prévision 2011 2" xfId="720" xr:uid="{00000000-0005-0000-0000-0000BB020000}"/>
    <cellStyle name="_Maquette classeurs de prévision 2011_01.P614_DTA JPE 2014_V2-bis" xfId="721" xr:uid="{00000000-0005-0000-0000-0000BC020000}"/>
    <cellStyle name="_Maquette classeurs de prévision 2011_01.P614_DTA JPE 2014_V2-bis 2" xfId="722" xr:uid="{00000000-0005-0000-0000-0000BD020000}"/>
    <cellStyle name="_Maquette classeurs de prévision 2011_2013 03 05 ANNEXES circulaire sécurisation" xfId="723" xr:uid="{00000000-0005-0000-0000-0000BE020000}"/>
    <cellStyle name="_Maquette classeurs de prévision 2011_2013 03 05 arbitrages PLF 2014" xfId="724" xr:uid="{00000000-0005-0000-0000-0000BF020000}"/>
    <cellStyle name="_Maquette classeurs de prévision 2011_annexe5_arbitrage_OPE" xfId="725" xr:uid="{00000000-0005-0000-0000-0000C0020000}"/>
    <cellStyle name="_Maquette classeurs de prévision 2011_annexe5_circ_OPE (2)" xfId="726" xr:uid="{00000000-0005-0000-0000-0000C1020000}"/>
    <cellStyle name="_Maquette classeurs de prévision 2011_Classeur3" xfId="727" xr:uid="{00000000-0005-0000-0000-0000C2020000}"/>
    <cellStyle name="_Maquette classeurs de prévision 2011_Classeur4" xfId="728" xr:uid="{00000000-0005-0000-0000-0000C3020000}"/>
    <cellStyle name="_Maquette classeurs de prévision 2011_Classeur5" xfId="729" xr:uid="{00000000-0005-0000-0000-0000C4020000}"/>
    <cellStyle name="_Maquette classeurs de prévision 2011_Classeur6" xfId="730" xr:uid="{00000000-0005-0000-0000-0000C5020000}"/>
    <cellStyle name="_Maquette classeurs de prévision 2011_Classeur7" xfId="731" xr:uid="{00000000-0005-0000-0000-0000C6020000}"/>
    <cellStyle name="_Maquette classeurs de prévision 2011_Dépenses par titre et par action JPE2014" xfId="732" xr:uid="{00000000-0005-0000-0000-0000C7020000}"/>
    <cellStyle name="_Maquette classeurs de prévision 2011_M-08_triennal_DSNA" xfId="733" xr:uid="{00000000-0005-0000-0000-0000C8020000}"/>
    <cellStyle name="_Maquette classeurs de prévision 2011_MEDDE - dossier arbitrage PLF 2013-2015 arbitrage v1" xfId="734" xr:uid="{00000000-0005-0000-0000-0000C9020000}"/>
    <cellStyle name="_Maquette classeurs de prévision 2011_OPE_CAS pension_05juil_18h" xfId="735" xr:uid="{00000000-0005-0000-0000-0000CA020000}"/>
    <cellStyle name="_Maquette classeurs de prévision 2011_PLF 2012 - MCC - Arbitrages" xfId="736" xr:uid="{00000000-0005-0000-0000-0000CB020000}"/>
    <cellStyle name="_Maquette classeurs de prévision 2011_Synthèse_CAS_Pensions_17juil_22h30" xfId="737" xr:uid="{00000000-0005-0000-0000-0000CC020000}"/>
    <cellStyle name="_Maquette classeurs de prévision 2011_Synthèse_CAS_Pensions_29juin_19h" xfId="738" xr:uid="{00000000-0005-0000-0000-0000CD020000}"/>
    <cellStyle name="_Maquette classeurs de prévision 2011_Synthèse_CAS_Pensions_30juil_11h" xfId="739" xr:uid="{00000000-0005-0000-0000-0000CE020000}"/>
    <cellStyle name="_Nosia BPlan V0 10D" xfId="740" xr:uid="{00000000-0005-0000-0000-0000CF020000}"/>
    <cellStyle name="_Nosia BPlan V0 10D 2" xfId="741" xr:uid="{00000000-0005-0000-0000-0000D0020000}"/>
    <cellStyle name="_Nosia BPlan V0 10D 3" xfId="742" xr:uid="{00000000-0005-0000-0000-0000D1020000}"/>
    <cellStyle name="_OPE_Bud_EmploisCAS" xfId="743" xr:uid="{00000000-0005-0000-0000-0000D2020000}"/>
    <cellStyle name="_OPE_Bud_EmploisCAS 2" xfId="744" xr:uid="{00000000-0005-0000-0000-0000D3020000}"/>
    <cellStyle name="_OPE_Bud_EmploisCAS_01.P614_DTA JPE 2014_V2-bis" xfId="745" xr:uid="{00000000-0005-0000-0000-0000D4020000}"/>
    <cellStyle name="_OPE_Bud_EmploisCAS_01.P614_DTA JPE 2014_V2-bis 2" xfId="746" xr:uid="{00000000-0005-0000-0000-0000D5020000}"/>
    <cellStyle name="_OPE_Bud_EmploisCAS_Dépenses par titre et par action JPE2014" xfId="747" xr:uid="{00000000-0005-0000-0000-0000D6020000}"/>
    <cellStyle name="_OPE_Bud_EmploisCAS_M-08_triennal_DSNA" xfId="748" xr:uid="{00000000-0005-0000-0000-0000D7020000}"/>
    <cellStyle name="_P 751 - PMT - fichier de travail (2)" xfId="749" xr:uid="{00000000-0005-0000-0000-0000D8020000}"/>
    <cellStyle name="_Pg 751_PLF 2012_Fiche comp n3_Maquette constante (2)" xfId="750" xr:uid="{00000000-0005-0000-0000-0000D9020000}"/>
    <cellStyle name="_PITE Position DMAT (2)" xfId="751" xr:uid="{00000000-0005-0000-0000-0000DA020000}"/>
    <cellStyle name="_PMT 2013-2016 CAS AMENDES" xfId="752" xr:uid="{00000000-0005-0000-0000-0000DB020000}"/>
    <cellStyle name="_PMT Mission EDAD - Tour 2 - v.1" xfId="753" xr:uid="{00000000-0005-0000-0000-0000DC020000}"/>
    <cellStyle name="_PMToperateurs2MPAP" xfId="754" xr:uid="{00000000-0005-0000-0000-0000DD020000}"/>
    <cellStyle name="_PnL VF RTE CNES  Réseau 16 11 2005 V2" xfId="755" xr:uid="{00000000-0005-0000-0000-0000DE020000}"/>
    <cellStyle name="_PnL VF RTE CNES  Réseau 16 11 2005 V2 2" xfId="756" xr:uid="{00000000-0005-0000-0000-0000DF020000}"/>
    <cellStyle name="_PnL VF RTE CNES  Réseau 16 11 2005 V2 3" xfId="757" xr:uid="{00000000-0005-0000-0000-0000E0020000}"/>
    <cellStyle name="_prev 5bcl V2 modéré avec stabilisation pour CL" xfId="758" xr:uid="{00000000-0005-0000-0000-0000E1020000}"/>
    <cellStyle name="_Prev. Exe. 1" xfId="759" xr:uid="{00000000-0005-0000-0000-0000E2020000}"/>
    <cellStyle name="_PREX MARS onglet T3 CAS" xfId="760" xr:uid="{00000000-0005-0000-0000-0000E3020000}"/>
    <cellStyle name="_PREX OCTOBRE BASE 1 BE" xfId="761" xr:uid="{00000000-0005-0000-0000-0000E4020000}"/>
    <cellStyle name="_PrEx-juillet2011 v8" xfId="762" xr:uid="{00000000-0005-0000-0000-0000E5020000}"/>
    <cellStyle name="_PrEx-juillet2011 v8_2013 03 05 ANNEXES circulaire sécurisation" xfId="763" xr:uid="{00000000-0005-0000-0000-0000E6020000}"/>
    <cellStyle name="_PrEx-juillet2011 v8_2013 03 05 arbitrages PLF 2014" xfId="764" xr:uid="{00000000-0005-0000-0000-0000E7020000}"/>
    <cellStyle name="_PrEx-juillet2011 v8_annexe5_arbitrage_OPE" xfId="765" xr:uid="{00000000-0005-0000-0000-0000E8020000}"/>
    <cellStyle name="_PrEx-juillet2011 v8_annexe5_circ_OPE (2)" xfId="766" xr:uid="{00000000-0005-0000-0000-0000E9020000}"/>
    <cellStyle name="_PrEx-juillet2011 v8_Classeur5" xfId="767" xr:uid="{00000000-0005-0000-0000-0000EA020000}"/>
    <cellStyle name="_PrEx-nov_2011 v02" xfId="768" xr:uid="{00000000-0005-0000-0000-0000EB020000}"/>
    <cellStyle name="_RangeColumns" xfId="769" xr:uid="{00000000-0005-0000-0000-0000EC020000}"/>
    <cellStyle name="_RangeColumns 2" xfId="770" xr:uid="{00000000-0005-0000-0000-0000ED020000}"/>
    <cellStyle name="_RangeColumns 2 2" xfId="14843" xr:uid="{00000000-0005-0000-0000-0000EE020000}"/>
    <cellStyle name="_RangeColumns 3" xfId="771" xr:uid="{00000000-0005-0000-0000-0000EF020000}"/>
    <cellStyle name="_RangeColumns 3 2" xfId="772" xr:uid="{00000000-0005-0000-0000-0000F0020000}"/>
    <cellStyle name="_RangeColumns 3 2 2" xfId="14845" xr:uid="{00000000-0005-0000-0000-0000F1020000}"/>
    <cellStyle name="_RangeColumns 3 3" xfId="14844" xr:uid="{00000000-0005-0000-0000-0000F2020000}"/>
    <cellStyle name="_RangeColumns 4" xfId="773" xr:uid="{00000000-0005-0000-0000-0000F3020000}"/>
    <cellStyle name="_RangeColumns 4 2" xfId="14846" xr:uid="{00000000-0005-0000-0000-0000F4020000}"/>
    <cellStyle name="_RangeColumns 5" xfId="774" xr:uid="{00000000-0005-0000-0000-0000F5020000}"/>
    <cellStyle name="_RangeColumns 5 2" xfId="14847" xr:uid="{00000000-0005-0000-0000-0000F6020000}"/>
    <cellStyle name="_RangeColumns 6" xfId="14842" xr:uid="{00000000-0005-0000-0000-0000F7020000}"/>
    <cellStyle name="_RangeData" xfId="775" xr:uid="{00000000-0005-0000-0000-0000F8020000}"/>
    <cellStyle name="_RangeData 2" xfId="776" xr:uid="{00000000-0005-0000-0000-0000F9020000}"/>
    <cellStyle name="_RangeData 2 2" xfId="14849" xr:uid="{00000000-0005-0000-0000-0000FA020000}"/>
    <cellStyle name="_RangeData 3" xfId="777" xr:uid="{00000000-0005-0000-0000-0000FB020000}"/>
    <cellStyle name="_RangeData 3 2" xfId="778" xr:uid="{00000000-0005-0000-0000-0000FC020000}"/>
    <cellStyle name="_RangeData 3 2 2" xfId="14851" xr:uid="{00000000-0005-0000-0000-0000FD020000}"/>
    <cellStyle name="_RangeData 3 3" xfId="14850" xr:uid="{00000000-0005-0000-0000-0000FE020000}"/>
    <cellStyle name="_RangeData 4" xfId="779" xr:uid="{00000000-0005-0000-0000-0000FF020000}"/>
    <cellStyle name="_RangeData 4 2" xfId="14852" xr:uid="{00000000-0005-0000-0000-000000030000}"/>
    <cellStyle name="_RangeData 5" xfId="780" xr:uid="{00000000-0005-0000-0000-000001030000}"/>
    <cellStyle name="_RangeData 5 2" xfId="14853" xr:uid="{00000000-0005-0000-0000-000002030000}"/>
    <cellStyle name="_RangeData 6" xfId="14848" xr:uid="{00000000-0005-0000-0000-000003030000}"/>
    <cellStyle name="_RangeProperties" xfId="781" xr:uid="{00000000-0005-0000-0000-000004030000}"/>
    <cellStyle name="_RangeProperties 2" xfId="782" xr:uid="{00000000-0005-0000-0000-000005030000}"/>
    <cellStyle name="_RangeProperties 2 2" xfId="14855" xr:uid="{00000000-0005-0000-0000-000006030000}"/>
    <cellStyle name="_RangeProperties 3" xfId="783" xr:uid="{00000000-0005-0000-0000-000007030000}"/>
    <cellStyle name="_RangeProperties 3 2" xfId="784" xr:uid="{00000000-0005-0000-0000-000008030000}"/>
    <cellStyle name="_RangeProperties 3 2 2" xfId="14857" xr:uid="{00000000-0005-0000-0000-000009030000}"/>
    <cellStyle name="_RangeProperties 3 3" xfId="14856" xr:uid="{00000000-0005-0000-0000-00000A030000}"/>
    <cellStyle name="_RangeProperties 4" xfId="785" xr:uid="{00000000-0005-0000-0000-00000B030000}"/>
    <cellStyle name="_RangeProperties 4 2" xfId="14858" xr:uid="{00000000-0005-0000-0000-00000C030000}"/>
    <cellStyle name="_RangeProperties 5" xfId="786" xr:uid="{00000000-0005-0000-0000-00000D030000}"/>
    <cellStyle name="_RangeProperties 5 2" xfId="14859" xr:uid="{00000000-0005-0000-0000-00000E030000}"/>
    <cellStyle name="_RangeProperties 6" xfId="14854" xr:uid="{00000000-0005-0000-0000-00000F030000}"/>
    <cellStyle name="_RangePropertiesColumns" xfId="787" xr:uid="{00000000-0005-0000-0000-000010030000}"/>
    <cellStyle name="_RangePropertiesColumns 2" xfId="788" xr:uid="{00000000-0005-0000-0000-000011030000}"/>
    <cellStyle name="_RangePropertiesColumns 2 2" xfId="14861" xr:uid="{00000000-0005-0000-0000-000012030000}"/>
    <cellStyle name="_RangePropertiesColumns 3" xfId="789" xr:uid="{00000000-0005-0000-0000-000013030000}"/>
    <cellStyle name="_RangePropertiesColumns 3 2" xfId="790" xr:uid="{00000000-0005-0000-0000-000014030000}"/>
    <cellStyle name="_RangePropertiesColumns 3 2 2" xfId="14863" xr:uid="{00000000-0005-0000-0000-000015030000}"/>
    <cellStyle name="_RangePropertiesColumns 3 3" xfId="14862" xr:uid="{00000000-0005-0000-0000-000016030000}"/>
    <cellStyle name="_RangePropertiesColumns 4" xfId="791" xr:uid="{00000000-0005-0000-0000-000017030000}"/>
    <cellStyle name="_RangePropertiesColumns 4 2" xfId="14864" xr:uid="{00000000-0005-0000-0000-000018030000}"/>
    <cellStyle name="_RangePropertiesColumns 5" xfId="792" xr:uid="{00000000-0005-0000-0000-000019030000}"/>
    <cellStyle name="_RangePropertiesColumns 5 2" xfId="14865" xr:uid="{00000000-0005-0000-0000-00001A030000}"/>
    <cellStyle name="_RangePropertiesColumns 6" xfId="14860" xr:uid="{00000000-0005-0000-0000-00001B030000}"/>
    <cellStyle name="_RangeRows" xfId="793" xr:uid="{00000000-0005-0000-0000-00001C030000}"/>
    <cellStyle name="_RangeRows 2" xfId="794" xr:uid="{00000000-0005-0000-0000-00001D030000}"/>
    <cellStyle name="_RangeRows 2 2" xfId="14867" xr:uid="{00000000-0005-0000-0000-00001E030000}"/>
    <cellStyle name="_RangeRows 3" xfId="795" xr:uid="{00000000-0005-0000-0000-00001F030000}"/>
    <cellStyle name="_RangeRows 3 2" xfId="796" xr:uid="{00000000-0005-0000-0000-000020030000}"/>
    <cellStyle name="_RangeRows 3 2 2" xfId="14869" xr:uid="{00000000-0005-0000-0000-000021030000}"/>
    <cellStyle name="_RangeRows 3 3" xfId="14868" xr:uid="{00000000-0005-0000-0000-000022030000}"/>
    <cellStyle name="_RangeRows 4" xfId="797" xr:uid="{00000000-0005-0000-0000-000023030000}"/>
    <cellStyle name="_RangeRows 4 2" xfId="14870" xr:uid="{00000000-0005-0000-0000-000024030000}"/>
    <cellStyle name="_RangeRows 5" xfId="798" xr:uid="{00000000-0005-0000-0000-000025030000}"/>
    <cellStyle name="_RangeRows 5 2" xfId="14871" xr:uid="{00000000-0005-0000-0000-000026030000}"/>
    <cellStyle name="_RangeRows 6" xfId="14866" xr:uid="{00000000-0005-0000-0000-000027030000}"/>
    <cellStyle name="_RangeSlicer" xfId="799" xr:uid="{00000000-0005-0000-0000-000028030000}"/>
    <cellStyle name="_Row1" xfId="800" xr:uid="{00000000-0005-0000-0000-000029030000}"/>
    <cellStyle name="_Row1_ Bremen" xfId="801" xr:uid="{00000000-0005-0000-0000-00002A030000}"/>
    <cellStyle name="_Row1_ Dresden" xfId="802" xr:uid="{00000000-0005-0000-0000-00002B030000}"/>
    <cellStyle name="_Row1_ Düsseldorf" xfId="803" xr:uid="{00000000-0005-0000-0000-00002C030000}"/>
    <cellStyle name="_Row1_ Köln Bonn" xfId="804" xr:uid="{00000000-0005-0000-0000-00002D030000}"/>
    <cellStyle name="_Row1_ München" xfId="805" xr:uid="{00000000-0005-0000-0000-00002E030000}"/>
    <cellStyle name="_Row1_bAV je KTR" xfId="806" xr:uid="{00000000-0005-0000-0000-00002F030000}"/>
    <cellStyle name="_Row1_Berlin BBI" xfId="807" xr:uid="{00000000-0005-0000-0000-000030030000}"/>
    <cellStyle name="_Row1_Berlin Tegel" xfId="808" xr:uid="{00000000-0005-0000-0000-000031030000}"/>
    <cellStyle name="_Row1_Brücke Mifri" xfId="809" xr:uid="{00000000-0005-0000-0000-000032030000}"/>
    <cellStyle name="_Row1_Brücke RP" xfId="810" xr:uid="{00000000-0005-0000-0000-000033030000}"/>
    <cellStyle name="_Row1_Datenbasis-DFS_SAP-DFS2.2014" xfId="811" xr:uid="{00000000-0005-0000-0000-000034030000}"/>
    <cellStyle name="_Row1_Datenbasis-STRECKE_SAP-DFS2.201" xfId="812" xr:uid="{00000000-0005-0000-0000-000035030000}"/>
    <cellStyle name="_Row1_Eingabe-KTR" xfId="813" xr:uid="{00000000-0005-0000-0000-000036030000}"/>
    <cellStyle name="_Row1_Ek Gebühr KCB" xfId="814" xr:uid="{00000000-0005-0000-0000-000037030000}"/>
    <cellStyle name="_Row1_Ek Preisfinanziert" xfId="815" xr:uid="{00000000-0005-0000-0000-000038030000}"/>
    <cellStyle name="_Row1_Enroute" xfId="816" xr:uid="{00000000-0005-0000-0000-000039030000}"/>
    <cellStyle name="_Row1_Erfurt" xfId="817" xr:uid="{00000000-0005-0000-0000-00003A030000}"/>
    <cellStyle name="_Row1_ERW2013" xfId="818" xr:uid="{00000000-0005-0000-0000-00003B030000}"/>
    <cellStyle name="_Row1_EU-BW" xfId="819" xr:uid="{00000000-0005-0000-0000-00003C030000}"/>
    <cellStyle name="_Row1_EU-Tabellen" xfId="820" xr:uid="{00000000-0005-0000-0000-00003D030000}"/>
    <cellStyle name="_Row1_Ford_Verbl LuL" xfId="821" xr:uid="{00000000-0005-0000-0000-00003E030000}"/>
    <cellStyle name="_Row1_Ford_Verbl LuL_Additional information tables" xfId="822" xr:uid="{00000000-0005-0000-0000-00003F030000}"/>
    <cellStyle name="_Row1_Ford_Verbl LuL_Berechnung CoC nach CAPM" xfId="823" xr:uid="{00000000-0005-0000-0000-000040030000}"/>
    <cellStyle name="_Row1_Ford_Verbl LuL_Berechnung CoC nach CAPM_KTR An-Abflug" xfId="824" xr:uid="{00000000-0005-0000-0000-000041030000}"/>
    <cellStyle name="_Row1_Ford_Verbl LuL_Berechnung CoC nach CAPM_KTR Strecke" xfId="825" xr:uid="{00000000-0005-0000-0000-000042030000}"/>
    <cellStyle name="_Row1_Ford_Verbl LuL_KTR An-Abflug" xfId="826" xr:uid="{00000000-0005-0000-0000-000043030000}"/>
    <cellStyle name="_Row1_Ford_Verbl LuL_KTR Strecke" xfId="827" xr:uid="{00000000-0005-0000-0000-000044030000}"/>
    <cellStyle name="_Row1_Ford_Verbl LuL_Regulatory AssetBase mit Ist 13" xfId="828" xr:uid="{00000000-0005-0000-0000-000045030000}"/>
    <cellStyle name="_Row1_Ford_Verbl LuL_Regulatory AssetBase mit Ist 13_KTR An-Abflug" xfId="829" xr:uid="{00000000-0005-0000-0000-000046030000}"/>
    <cellStyle name="_Row1_Ford_Verbl LuL_Regulatory AssetBase mit Ist 13_KTR Strecke" xfId="830" xr:uid="{00000000-0005-0000-0000-000047030000}"/>
    <cellStyle name="_Row1_Ford_Verbl LuL_Tabellarische Darstellung" xfId="831" xr:uid="{00000000-0005-0000-0000-000048030000}"/>
    <cellStyle name="_Row1_Ford_Verbl LuL_Tabellarische Darstellung_KTR An-Abflug" xfId="832" xr:uid="{00000000-0005-0000-0000-000049030000}"/>
    <cellStyle name="_Row1_Ford_Verbl LuL_Tabellarische Darstellung_KTR Strecke" xfId="833" xr:uid="{00000000-0005-0000-0000-00004A030000}"/>
    <cellStyle name="_Row1_Frankfurt" xfId="834" xr:uid="{00000000-0005-0000-0000-00004B030000}"/>
    <cellStyle name="_Row1_Gebühren JP 2013 Stand 2. SV_Stand 13.12.2012" xfId="835" xr:uid="{00000000-0005-0000-0000-00004C030000}"/>
    <cellStyle name="_Row1_Gebühren JP 2013 Stand 2. SV_Stand 13.12.2012_Additional information tables" xfId="836" xr:uid="{00000000-0005-0000-0000-00004D030000}"/>
    <cellStyle name="_Row1_Gebühren JP 2013 Stand 2. SV_Stand 13.12.2012_Berechnung CoC nach CAPM" xfId="837" xr:uid="{00000000-0005-0000-0000-00004E030000}"/>
    <cellStyle name="_Row1_Gebühren JP 2013 Stand 2. SV_Stand 13.12.2012_Berechnung CoC nach CAPM_KTR An-Abflug" xfId="838" xr:uid="{00000000-0005-0000-0000-00004F030000}"/>
    <cellStyle name="_Row1_Gebühren JP 2013 Stand 2. SV_Stand 13.12.2012_Berechnung CoC nach CAPM_KTR Strecke" xfId="839" xr:uid="{00000000-0005-0000-0000-000050030000}"/>
    <cellStyle name="_Row1_Gebühren JP 2013 Stand 2. SV_Stand 13.12.2012_KTR An-Abflug" xfId="840" xr:uid="{00000000-0005-0000-0000-000051030000}"/>
    <cellStyle name="_Row1_Gebühren JP 2013 Stand 2. SV_Stand 13.12.2012_KTR Strecke" xfId="841" xr:uid="{00000000-0005-0000-0000-000052030000}"/>
    <cellStyle name="_Row1_Gebühren JP 2013 Stand 2. SV_Stand 13.12.2012_Regulatory AssetBase mit Ist 13" xfId="842" xr:uid="{00000000-0005-0000-0000-000053030000}"/>
    <cellStyle name="_Row1_Gebühren JP 2013 Stand 2. SV_Stand 13.12.2012_Regulatory AssetBase mit Ist 13_KTR An-Abflug" xfId="843" xr:uid="{00000000-0005-0000-0000-000054030000}"/>
    <cellStyle name="_Row1_Gebühren JP 2013 Stand 2. SV_Stand 13.12.2012_Regulatory AssetBase mit Ist 13_KTR Strecke" xfId="844" xr:uid="{00000000-0005-0000-0000-000055030000}"/>
    <cellStyle name="_Row1_Gebühren JP 2013 Stand 2. SV_Stand 13.12.2012_Tabellarische Darstellung" xfId="845" xr:uid="{00000000-0005-0000-0000-000056030000}"/>
    <cellStyle name="_Row1_Gebühren JP 2013 Stand 2. SV_Stand 13.12.2012_Tabellarische Darstellung_KTR An-Abflug" xfId="846" xr:uid="{00000000-0005-0000-0000-000057030000}"/>
    <cellStyle name="_Row1_Gebühren JP 2013 Stand 2. SV_Stand 13.12.2012_Tabellarische Darstellung_KTR Strecke" xfId="847" xr:uid="{00000000-0005-0000-0000-000058030000}"/>
    <cellStyle name="_Row1_Gebührenbilanz - Aufbau" xfId="848" xr:uid="{00000000-0005-0000-0000-000059030000}"/>
    <cellStyle name="_Row1_Gebührenbilanz - Aufbau_1" xfId="849" xr:uid="{00000000-0005-0000-0000-00005A030000}"/>
    <cellStyle name="_Row1_Gebührenbilanz - Aufbau_1_Additional information tables" xfId="850" xr:uid="{00000000-0005-0000-0000-00005B030000}"/>
    <cellStyle name="_Row1_Gebührenbilanz - Aufbau_1_Berechnung CoC nach CAPM" xfId="851" xr:uid="{00000000-0005-0000-0000-00005C030000}"/>
    <cellStyle name="_Row1_Gebührenbilanz - Aufbau_1_Berechnung CoC nach CAPM_KTR An-Abflug" xfId="852" xr:uid="{00000000-0005-0000-0000-00005D030000}"/>
    <cellStyle name="_Row1_Gebührenbilanz - Aufbau_1_Berechnung CoC nach CAPM_KTR Strecke" xfId="853" xr:uid="{00000000-0005-0000-0000-00005E030000}"/>
    <cellStyle name="_Row1_Gebührenbilanz - Aufbau_1_KTR An-Abflug" xfId="854" xr:uid="{00000000-0005-0000-0000-00005F030000}"/>
    <cellStyle name="_Row1_Gebührenbilanz - Aufbau_1_KTR Strecke" xfId="855" xr:uid="{00000000-0005-0000-0000-000060030000}"/>
    <cellStyle name="_Row1_Gebührenbilanz - Aufbau_1_Regulatory AssetBase mit Ist 13" xfId="856" xr:uid="{00000000-0005-0000-0000-000061030000}"/>
    <cellStyle name="_Row1_Gebührenbilanz - Aufbau_1_Regulatory AssetBase mit Ist 13_KTR An-Abflug" xfId="857" xr:uid="{00000000-0005-0000-0000-000062030000}"/>
    <cellStyle name="_Row1_Gebührenbilanz - Aufbau_1_Regulatory AssetBase mit Ist 13_KTR Strecke" xfId="858" xr:uid="{00000000-0005-0000-0000-000063030000}"/>
    <cellStyle name="_Row1_Gebührenbilanz - Aufbau_1_Tabellarische Darstellung" xfId="859" xr:uid="{00000000-0005-0000-0000-000064030000}"/>
    <cellStyle name="_Row1_Gebührenbilanz - Aufbau_1_Tabellarische Darstellung_KTR An-Abflug" xfId="860" xr:uid="{00000000-0005-0000-0000-000065030000}"/>
    <cellStyle name="_Row1_Gebührenbilanz - Aufbau_1_Tabellarische Darstellung_KTR Strecke" xfId="861" xr:uid="{00000000-0005-0000-0000-000066030000}"/>
    <cellStyle name="_Row1_Gebührenbilanz - Aufbau_BAV" xfId="862" xr:uid="{00000000-0005-0000-0000-000067030000}"/>
    <cellStyle name="_Row1_Gebührenbilanz - Aufbau_Enroute" xfId="863" xr:uid="{00000000-0005-0000-0000-000068030000}"/>
    <cellStyle name="_Row1_Gebührenbilanz - Aufbau_KTR An-Abflug" xfId="864" xr:uid="{00000000-0005-0000-0000-000069030000}"/>
    <cellStyle name="_Row1_Gebührenbilanz - Aufbau_KTR Strecke" xfId="865" xr:uid="{00000000-0005-0000-0000-00006A030000}"/>
    <cellStyle name="_Row1_Gesamtbilanz " xfId="866" xr:uid="{00000000-0005-0000-0000-00006B030000}"/>
    <cellStyle name="_Row1_Hamburg" xfId="867" xr:uid="{00000000-0005-0000-0000-00006C030000}"/>
    <cellStyle name="_Row1_Hannover" xfId="868" xr:uid="{00000000-0005-0000-0000-00006D030000}"/>
    <cellStyle name="_Row1_KTR An-Abflug" xfId="869" xr:uid="{00000000-0005-0000-0000-00006E030000}"/>
    <cellStyle name="_Row1_KTR An-Abflug_BAV" xfId="870" xr:uid="{00000000-0005-0000-0000-00006F030000}"/>
    <cellStyle name="_Row1_KTR An-Abflug_Enroute" xfId="871" xr:uid="{00000000-0005-0000-0000-000070030000}"/>
    <cellStyle name="_Row1_KTR An-Abflug_KTR An-Abflug" xfId="872" xr:uid="{00000000-0005-0000-0000-000071030000}"/>
    <cellStyle name="_Row1_KTR An-Abflug_KTR Strecke" xfId="873" xr:uid="{00000000-0005-0000-0000-000072030000}"/>
    <cellStyle name="_Row1_KTR Strecke" xfId="874" xr:uid="{00000000-0005-0000-0000-000073030000}"/>
    <cellStyle name="_Row1_KTR Strecke_KTR An-Abflug" xfId="875" xr:uid="{00000000-0005-0000-0000-000074030000}"/>
    <cellStyle name="_Row1_KTR Strecke_KTR Strecke" xfId="876" xr:uid="{00000000-0005-0000-0000-000075030000}"/>
    <cellStyle name="_Row1_Leipzig" xfId="877" xr:uid="{00000000-0005-0000-0000-000076030000}"/>
    <cellStyle name="_Row1_Münster Osnabrück" xfId="878" xr:uid="{00000000-0005-0000-0000-000077030000}"/>
    <cellStyle name="_Row1_Nürnberg" xfId="879" xr:uid="{00000000-0005-0000-0000-000078030000}"/>
    <cellStyle name="_Row1_Schlüssel BNV" xfId="881" xr:uid="{00000000-0005-0000-0000-00007A030000}"/>
    <cellStyle name="_Row1_Schlüssel BNV_Additional information tables" xfId="882" xr:uid="{00000000-0005-0000-0000-00007B030000}"/>
    <cellStyle name="_Row1_Schlüssel BNV_Berechnung CoC nach CAPM" xfId="883" xr:uid="{00000000-0005-0000-0000-00007C030000}"/>
    <cellStyle name="_Row1_Schlüssel BNV_Berechnung CoC nach CAPM_KTR An-Abflug" xfId="884" xr:uid="{00000000-0005-0000-0000-00007D030000}"/>
    <cellStyle name="_Row1_Schlüssel BNV_Berechnung CoC nach CAPM_KTR Strecke" xfId="885" xr:uid="{00000000-0005-0000-0000-00007E030000}"/>
    <cellStyle name="_Row1_Schlüssel BNV_KTR An-Abflug" xfId="886" xr:uid="{00000000-0005-0000-0000-00007F030000}"/>
    <cellStyle name="_Row1_Schlüssel BNV_KTR Strecke" xfId="887" xr:uid="{00000000-0005-0000-0000-000080030000}"/>
    <cellStyle name="_Row1_Schlüssel BNV_Regulatory AssetBase mit Ist 13" xfId="888" xr:uid="{00000000-0005-0000-0000-000081030000}"/>
    <cellStyle name="_Row1_Schlüssel BNV_Regulatory AssetBase mit Ist 13_KTR An-Abflug" xfId="889" xr:uid="{00000000-0005-0000-0000-000082030000}"/>
    <cellStyle name="_Row1_Schlüssel BNV_Regulatory AssetBase mit Ist 13_KTR Strecke" xfId="890" xr:uid="{00000000-0005-0000-0000-000083030000}"/>
    <cellStyle name="_Row1_Schlüssel BNV_Tabellarische Darstellung" xfId="891" xr:uid="{00000000-0005-0000-0000-000084030000}"/>
    <cellStyle name="_Row1_Schlüssel BNV_Tabellarische Darstellung_KTR An-Abflug" xfId="892" xr:uid="{00000000-0005-0000-0000-000085030000}"/>
    <cellStyle name="_Row1_Schlüssel BNV_Tabellarische Darstellung_KTR Strecke" xfId="893" xr:uid="{00000000-0005-0000-0000-000086030000}"/>
    <cellStyle name="_Row1_Stuttgart" xfId="894" xr:uid="{00000000-0005-0000-0000-000087030000}"/>
    <cellStyle name="_Row1_Saarbrücken" xfId="880" xr:uid="{00000000-0005-0000-0000-000079030000}"/>
    <cellStyle name="_Row1_Tabelle2" xfId="895" xr:uid="{00000000-0005-0000-0000-000088030000}"/>
    <cellStyle name="_Row1_Table 1 ANSP" xfId="896" xr:uid="{00000000-0005-0000-0000-000089030000}"/>
    <cellStyle name="_Row1_TABLE 2" xfId="897" xr:uid="{00000000-0005-0000-0000-00008A030000}"/>
    <cellStyle name="_Row1_TABLE 2 DFS" xfId="898" xr:uid="{00000000-0005-0000-0000-00008B030000}"/>
    <cellStyle name="_Row1_TWR TXL_BER" xfId="899" xr:uid="{00000000-0005-0000-0000-00008C030000}"/>
    <cellStyle name="_Row1_TWR TXL_BER_Berlin BBI 2" xfId="900" xr:uid="{00000000-0005-0000-0000-00008D030000}"/>
    <cellStyle name="_Row1_TWR TXL_BER_Bremen 2" xfId="901" xr:uid="{00000000-0005-0000-0000-00008E030000}"/>
    <cellStyle name="_Row1_TWR TXL_BER_Dresden2" xfId="902" xr:uid="{00000000-0005-0000-0000-00008F030000}"/>
    <cellStyle name="_Row1_TWR TXL_BER_Düsseldorf  2" xfId="903" xr:uid="{00000000-0005-0000-0000-000090030000}"/>
    <cellStyle name="_Row1_TWR TXL_BER_Erfurt 2" xfId="904" xr:uid="{00000000-0005-0000-0000-000091030000}"/>
    <cellStyle name="_Row1_TWR TXL_BER_Frankfurt 2" xfId="905" xr:uid="{00000000-0005-0000-0000-000092030000}"/>
    <cellStyle name="_Row1_TWR TXL_BER_Hamburg 2" xfId="906" xr:uid="{00000000-0005-0000-0000-000093030000}"/>
    <cellStyle name="_Row1_TWR TXL_BER_Hannover 2" xfId="907" xr:uid="{00000000-0005-0000-0000-000094030000}"/>
    <cellStyle name="_Row1_TWR TXL_BER_Köln Bonn 2" xfId="908" xr:uid="{00000000-0005-0000-0000-000095030000}"/>
    <cellStyle name="_Row1_TWR TXL_BER_Leipzig 2" xfId="909" xr:uid="{00000000-0005-0000-0000-000096030000}"/>
    <cellStyle name="_Row1_TWR TXL_BER_München 2" xfId="910" xr:uid="{00000000-0005-0000-0000-000097030000}"/>
    <cellStyle name="_Row1_TWR TXL_BER_Münster 2" xfId="911" xr:uid="{00000000-0005-0000-0000-000098030000}"/>
    <cellStyle name="_Row1_TWR TXL_BER_Nürnberg 2" xfId="912" xr:uid="{00000000-0005-0000-0000-000099030000}"/>
    <cellStyle name="_Row1_TWR TXL_BER_Stuttgart 2" xfId="914" xr:uid="{00000000-0005-0000-0000-00009B030000}"/>
    <cellStyle name="_Row1_TWR TXL_BER_Saarbrücken 2" xfId="913" xr:uid="{00000000-0005-0000-0000-00009A030000}"/>
    <cellStyle name="_Row1_Werte aktualisieren" xfId="928" xr:uid="{00000000-0005-0000-0000-0000A9030000}"/>
    <cellStyle name="_Row1_Übersicht Modelle" xfId="915" xr:uid="{00000000-0005-0000-0000-00009C030000}"/>
    <cellStyle name="_Row1_Übersicht Modelle_Additional information tables" xfId="916" xr:uid="{00000000-0005-0000-0000-00009D030000}"/>
    <cellStyle name="_Row1_Übersicht Modelle_Berechnung CoC nach CAPM" xfId="917" xr:uid="{00000000-0005-0000-0000-00009E030000}"/>
    <cellStyle name="_Row1_Übersicht Modelle_Berechnung CoC nach CAPM_KTR An-Abflug" xfId="918" xr:uid="{00000000-0005-0000-0000-00009F030000}"/>
    <cellStyle name="_Row1_Übersicht Modelle_Berechnung CoC nach CAPM_KTR Strecke" xfId="919" xr:uid="{00000000-0005-0000-0000-0000A0030000}"/>
    <cellStyle name="_Row1_Übersicht Modelle_KTR An-Abflug" xfId="920" xr:uid="{00000000-0005-0000-0000-0000A1030000}"/>
    <cellStyle name="_Row1_Übersicht Modelle_KTR Strecke" xfId="921" xr:uid="{00000000-0005-0000-0000-0000A2030000}"/>
    <cellStyle name="_Row1_Übersicht Modelle_Regulatory AssetBase mit Ist 13" xfId="922" xr:uid="{00000000-0005-0000-0000-0000A3030000}"/>
    <cellStyle name="_Row1_Übersicht Modelle_Regulatory AssetBase mit Ist 13_KTR An-Abflug" xfId="923" xr:uid="{00000000-0005-0000-0000-0000A4030000}"/>
    <cellStyle name="_Row1_Übersicht Modelle_Regulatory AssetBase mit Ist 13_KTR Strecke" xfId="924" xr:uid="{00000000-0005-0000-0000-0000A5030000}"/>
    <cellStyle name="_Row1_Übersicht Modelle_Tabellarische Darstellung" xfId="925" xr:uid="{00000000-0005-0000-0000-0000A6030000}"/>
    <cellStyle name="_Row1_Übersicht Modelle_Tabellarische Darstellung_KTR An-Abflug" xfId="926" xr:uid="{00000000-0005-0000-0000-0000A7030000}"/>
    <cellStyle name="_Row1_Übersicht Modelle_Tabellarische Darstellung_KTR Strecke" xfId="927" xr:uid="{00000000-0005-0000-0000-0000A8030000}"/>
    <cellStyle name="_Row1_Zsfssg" xfId="929" xr:uid="{00000000-0005-0000-0000-0000AA030000}"/>
    <cellStyle name="_Row2" xfId="930" xr:uid="{00000000-0005-0000-0000-0000AB030000}"/>
    <cellStyle name="_Row2_Aufteilung TWR-Standorte_2010" xfId="931" xr:uid="{00000000-0005-0000-0000-0000AC030000}"/>
    <cellStyle name="_Row2_Bruecke" xfId="933" xr:uid="{00000000-0005-0000-0000-0000AE030000}"/>
    <cellStyle name="_Row2_Brücke" xfId="932" xr:uid="{00000000-0005-0000-0000-0000AD030000}"/>
    <cellStyle name="_Row2_DB_Bereich" xfId="934" xr:uid="{00000000-0005-0000-0000-0000AF030000}"/>
    <cellStyle name="_Row2_Ek Preisfinanziert" xfId="935" xr:uid="{00000000-0005-0000-0000-0000B0030000}"/>
    <cellStyle name="_Row2_Ermittlung Überdeckung-vorl JA" xfId="936" xr:uid="{00000000-0005-0000-0000-0000B1030000}"/>
    <cellStyle name="_Row2_Gebührenbilanz - Aufbau" xfId="937" xr:uid="{00000000-0005-0000-0000-0000B2030000}"/>
    <cellStyle name="_Row2_KER" xfId="938" xr:uid="{00000000-0005-0000-0000-0000B3030000}"/>
    <cellStyle name="_Row2_KER-2007-Überdeckung mit ALEA-mit KTR-Kosten-Herleitung (feste Werte)" xfId="939" xr:uid="{00000000-0005-0000-0000-0000B4030000}"/>
    <cellStyle name="_Row2_KER-2011-Überdeckung mit ALEA-mit KTR-Kosten" xfId="940" xr:uid="{00000000-0005-0000-0000-0000B5030000}"/>
    <cellStyle name="_Row2_MIS_DFS1" xfId="941" xr:uid="{00000000-0005-0000-0000-0000B6030000}"/>
    <cellStyle name="_Row2_MIS_DFS2" xfId="942" xr:uid="{00000000-0005-0000-0000-0000B7030000}"/>
    <cellStyle name="_Row2_Tabelle1" xfId="943" xr:uid="{00000000-0005-0000-0000-0000B8030000}"/>
    <cellStyle name="_Row2_TWR TXL_BER" xfId="944" xr:uid="{00000000-0005-0000-0000-0000B9030000}"/>
    <cellStyle name="_Row2_Überleitung ins EU-Berichtswesen" xfId="945" xr:uid="{00000000-0005-0000-0000-0000BA030000}"/>
    <cellStyle name="_Row3" xfId="946" xr:uid="{00000000-0005-0000-0000-0000BB030000}"/>
    <cellStyle name="_Row3_Aufteilung TWR-Standorte_2010" xfId="947" xr:uid="{00000000-0005-0000-0000-0000BC030000}"/>
    <cellStyle name="_Row3_Bruecke" xfId="949" xr:uid="{00000000-0005-0000-0000-0000BE030000}"/>
    <cellStyle name="_Row3_Brücke" xfId="948" xr:uid="{00000000-0005-0000-0000-0000BD030000}"/>
    <cellStyle name="_Row3_DB_Bereich" xfId="950" xr:uid="{00000000-0005-0000-0000-0000BF030000}"/>
    <cellStyle name="_Row3_Ek Preisfinanziert" xfId="951" xr:uid="{00000000-0005-0000-0000-0000C0030000}"/>
    <cellStyle name="_Row3_Ermittlung Überdeckung-vorl JA" xfId="952" xr:uid="{00000000-0005-0000-0000-0000C1030000}"/>
    <cellStyle name="_Row3_Gebührenbilanz - Aufbau" xfId="953" xr:uid="{00000000-0005-0000-0000-0000C2030000}"/>
    <cellStyle name="_Row3_KER" xfId="954" xr:uid="{00000000-0005-0000-0000-0000C3030000}"/>
    <cellStyle name="_Row3_KER-2007-Überdeckung mit ALEA-mit KTR-Kosten-Herleitung (feste Werte)" xfId="955" xr:uid="{00000000-0005-0000-0000-0000C4030000}"/>
    <cellStyle name="_Row3_KER-2011-Überdeckung mit ALEA-mit KTR-Kosten" xfId="956" xr:uid="{00000000-0005-0000-0000-0000C5030000}"/>
    <cellStyle name="_Row3_MIS_DFS1" xfId="957" xr:uid="{00000000-0005-0000-0000-0000C6030000}"/>
    <cellStyle name="_Row3_MIS_DFS2" xfId="958" xr:uid="{00000000-0005-0000-0000-0000C7030000}"/>
    <cellStyle name="_Row3_Tabelle1" xfId="959" xr:uid="{00000000-0005-0000-0000-0000C8030000}"/>
    <cellStyle name="_Row3_TWR TXL_BER" xfId="960" xr:uid="{00000000-0005-0000-0000-0000C9030000}"/>
    <cellStyle name="_Row3_Überleitung ins EU-Berichtswesen" xfId="961" xr:uid="{00000000-0005-0000-0000-0000CA030000}"/>
    <cellStyle name="_Row4" xfId="962" xr:uid="{00000000-0005-0000-0000-0000CB030000}"/>
    <cellStyle name="_Row4_TWR TXL_BER" xfId="963" xr:uid="{00000000-0005-0000-0000-0000CC030000}"/>
    <cellStyle name="_Row5" xfId="964" xr:uid="{00000000-0005-0000-0000-0000CD030000}"/>
    <cellStyle name="_Row5_Aufteilung TWR-Standorte_2010" xfId="965" xr:uid="{00000000-0005-0000-0000-0000CE030000}"/>
    <cellStyle name="_Row5_Bruecke" xfId="967" xr:uid="{00000000-0005-0000-0000-0000D0030000}"/>
    <cellStyle name="_Row5_Brücke" xfId="966" xr:uid="{00000000-0005-0000-0000-0000CF030000}"/>
    <cellStyle name="_Row5_DB_Bereich" xfId="968" xr:uid="{00000000-0005-0000-0000-0000D1030000}"/>
    <cellStyle name="_Row5_Ek Preisfinanziert" xfId="969" xr:uid="{00000000-0005-0000-0000-0000D2030000}"/>
    <cellStyle name="_Row5_Ermittlung Überdeckung-vorl JA" xfId="970" xr:uid="{00000000-0005-0000-0000-0000D3030000}"/>
    <cellStyle name="_Row5_Gebührenbilanz - Aufbau" xfId="971" xr:uid="{00000000-0005-0000-0000-0000D4030000}"/>
    <cellStyle name="_Row5_KER" xfId="972" xr:uid="{00000000-0005-0000-0000-0000D5030000}"/>
    <cellStyle name="_Row5_KER-2007-Überdeckung mit ALEA-mit KTR-Kosten-Herleitung (feste Werte)" xfId="973" xr:uid="{00000000-0005-0000-0000-0000D6030000}"/>
    <cellStyle name="_Row5_KER-2011-Überdeckung mit ALEA-mit KTR-Kosten" xfId="974" xr:uid="{00000000-0005-0000-0000-0000D7030000}"/>
    <cellStyle name="_Row5_MIS_DFS1" xfId="975" xr:uid="{00000000-0005-0000-0000-0000D8030000}"/>
    <cellStyle name="_Row5_MIS_DFS2" xfId="976" xr:uid="{00000000-0005-0000-0000-0000D9030000}"/>
    <cellStyle name="_Row5_Tabelle1" xfId="977" xr:uid="{00000000-0005-0000-0000-0000DA030000}"/>
    <cellStyle name="_Row5_TWR TXL_BER" xfId="978" xr:uid="{00000000-0005-0000-0000-0000DB030000}"/>
    <cellStyle name="_Row5_Überleitung ins EU-Berichtswesen" xfId="979" xr:uid="{00000000-0005-0000-0000-0000DC030000}"/>
    <cellStyle name="_Row6" xfId="980" xr:uid="{00000000-0005-0000-0000-0000DD030000}"/>
    <cellStyle name="_Row6_Aufteilung TWR-Standorte_2010" xfId="981" xr:uid="{00000000-0005-0000-0000-0000DE030000}"/>
    <cellStyle name="_Row6_Bruecke" xfId="983" xr:uid="{00000000-0005-0000-0000-0000E0030000}"/>
    <cellStyle name="_Row6_Brücke" xfId="982" xr:uid="{00000000-0005-0000-0000-0000DF030000}"/>
    <cellStyle name="_Row6_DB_Bereich" xfId="984" xr:uid="{00000000-0005-0000-0000-0000E1030000}"/>
    <cellStyle name="_Row6_Ek Preisfinanziert" xfId="985" xr:uid="{00000000-0005-0000-0000-0000E2030000}"/>
    <cellStyle name="_Row6_Ermittlung Überdeckung-vorl JA" xfId="986" xr:uid="{00000000-0005-0000-0000-0000E3030000}"/>
    <cellStyle name="_Row6_Gebührenbilanz - Aufbau" xfId="987" xr:uid="{00000000-0005-0000-0000-0000E4030000}"/>
    <cellStyle name="_Row6_KER" xfId="988" xr:uid="{00000000-0005-0000-0000-0000E5030000}"/>
    <cellStyle name="_Row6_KER-2007-Überdeckung mit ALEA-mit KTR-Kosten-Herleitung (feste Werte)" xfId="989" xr:uid="{00000000-0005-0000-0000-0000E6030000}"/>
    <cellStyle name="_Row6_KER-2011-Überdeckung mit ALEA-mit KTR-Kosten" xfId="990" xr:uid="{00000000-0005-0000-0000-0000E7030000}"/>
    <cellStyle name="_Row6_MIS_DFS1" xfId="991" xr:uid="{00000000-0005-0000-0000-0000E8030000}"/>
    <cellStyle name="_Row6_MIS_DFS2" xfId="992" xr:uid="{00000000-0005-0000-0000-0000E9030000}"/>
    <cellStyle name="_Row6_Tabelle1" xfId="993" xr:uid="{00000000-0005-0000-0000-0000EA030000}"/>
    <cellStyle name="_Row6_TWR TXL_BER" xfId="994" xr:uid="{00000000-0005-0000-0000-0000EB030000}"/>
    <cellStyle name="_Row6_Überleitung ins EU-Berichtswesen" xfId="995" xr:uid="{00000000-0005-0000-0000-0000EC030000}"/>
    <cellStyle name="_Row7" xfId="996" xr:uid="{00000000-0005-0000-0000-0000ED030000}"/>
    <cellStyle name="_Row7_Aufteilung TWR-Standorte_2010" xfId="997" xr:uid="{00000000-0005-0000-0000-0000EE030000}"/>
    <cellStyle name="_Row7_Bruecke" xfId="999" xr:uid="{00000000-0005-0000-0000-0000F0030000}"/>
    <cellStyle name="_Row7_Brücke" xfId="998" xr:uid="{00000000-0005-0000-0000-0000EF030000}"/>
    <cellStyle name="_Row7_DB_Bereich" xfId="1000" xr:uid="{00000000-0005-0000-0000-0000F1030000}"/>
    <cellStyle name="_Row7_Ek Preisfinanziert" xfId="1001" xr:uid="{00000000-0005-0000-0000-0000F2030000}"/>
    <cellStyle name="_Row7_Ermittlung Überdeckung-vorl JA" xfId="1002" xr:uid="{00000000-0005-0000-0000-0000F3030000}"/>
    <cellStyle name="_Row7_Gebührenbilanz - Aufbau" xfId="1003" xr:uid="{00000000-0005-0000-0000-0000F4030000}"/>
    <cellStyle name="_Row7_KER" xfId="1004" xr:uid="{00000000-0005-0000-0000-0000F5030000}"/>
    <cellStyle name="_Row7_KER-2007-Überdeckung mit ALEA-mit KTR-Kosten-Herleitung (feste Werte)" xfId="1005" xr:uid="{00000000-0005-0000-0000-0000F6030000}"/>
    <cellStyle name="_Row7_KER-2011-Überdeckung mit ALEA-mit KTR-Kosten" xfId="1006" xr:uid="{00000000-0005-0000-0000-0000F7030000}"/>
    <cellStyle name="_Row7_MIS_DFS1" xfId="1007" xr:uid="{00000000-0005-0000-0000-0000F8030000}"/>
    <cellStyle name="_Row7_MIS_DFS2" xfId="1008" xr:uid="{00000000-0005-0000-0000-0000F9030000}"/>
    <cellStyle name="_Row7_Tabelle1" xfId="1009" xr:uid="{00000000-0005-0000-0000-0000FA030000}"/>
    <cellStyle name="_Row7_TWR TXL_BER" xfId="1010" xr:uid="{00000000-0005-0000-0000-0000FB030000}"/>
    <cellStyle name="_Row7_Überleitung ins EU-Berichtswesen" xfId="1011" xr:uid="{00000000-0005-0000-0000-0000FC030000}"/>
    <cellStyle name="_Sanofi - Gestion Serveurs et Reseau v3 12 10 05" xfId="1012" xr:uid="{00000000-0005-0000-0000-0000FD030000}"/>
    <cellStyle name="_Sanofi - Gestion Serveurs et Reseau v3 12 10 05 2" xfId="1013" xr:uid="{00000000-0005-0000-0000-0000FE030000}"/>
    <cellStyle name="_Sanofi - Gestion Serveurs et Reseau v3 12 10 05 3" xfId="1014" xr:uid="{00000000-0005-0000-0000-0000FF030000}"/>
    <cellStyle name="_Schéma de gage des ouvertures LFR Printemps envoi cab (3)" xfId="1015" xr:uid="{00000000-0005-0000-0000-000000040000}"/>
    <cellStyle name="_SNTHESE - DEFINITIF 13 avril" xfId="1016" xr:uid="{00000000-0005-0000-0000-000001040000}"/>
    <cellStyle name="_SNTHESE - DEFINITIF 13 avril_PLF 2012 - MCC - Arbitrages" xfId="1017" xr:uid="{00000000-0005-0000-0000-000002040000}"/>
    <cellStyle name="_Sous Jacents FAM et ODEADOM" xfId="1018" xr:uid="{00000000-0005-0000-0000-000003040000}"/>
    <cellStyle name="_SQ01" xfId="1019" xr:uid="{00000000-0005-0000-0000-000004040000}"/>
    <cellStyle name="_SQ01 2" xfId="1020" xr:uid="{00000000-0005-0000-0000-000005040000}"/>
    <cellStyle name="_SQ01_01.P614_DTA JPE 2014_V2-bis" xfId="1021" xr:uid="{00000000-0005-0000-0000-000006040000}"/>
    <cellStyle name="_SQ01_01.P614_DTA JPE 2014_V2-bis 2" xfId="1022" xr:uid="{00000000-0005-0000-0000-000007040000}"/>
    <cellStyle name="_SQ01_2013 03 05 ANNEXES circulaire sécurisation" xfId="1023" xr:uid="{00000000-0005-0000-0000-000008040000}"/>
    <cellStyle name="_SQ01_2013 03 05 arbitrages PLF 2014" xfId="1024" xr:uid="{00000000-0005-0000-0000-000009040000}"/>
    <cellStyle name="_SQ01_annexe5_arbitrage_OPE" xfId="1025" xr:uid="{00000000-0005-0000-0000-00000A040000}"/>
    <cellStyle name="_SQ01_annexe5_circ_OPE (2)" xfId="1026" xr:uid="{00000000-0005-0000-0000-00000B040000}"/>
    <cellStyle name="_SQ01_Classeur3" xfId="1027" xr:uid="{00000000-0005-0000-0000-00000C040000}"/>
    <cellStyle name="_SQ01_Classeur4" xfId="1028" xr:uid="{00000000-0005-0000-0000-00000D040000}"/>
    <cellStyle name="_SQ01_Classeur5" xfId="1029" xr:uid="{00000000-0005-0000-0000-00000E040000}"/>
    <cellStyle name="_SQ01_Classeur6" xfId="1030" xr:uid="{00000000-0005-0000-0000-00000F040000}"/>
    <cellStyle name="_SQ01_Classeur7" xfId="1031" xr:uid="{00000000-0005-0000-0000-000010040000}"/>
    <cellStyle name="_SQ01_Dépenses par titre et par action JPE2014" xfId="1032" xr:uid="{00000000-0005-0000-0000-000011040000}"/>
    <cellStyle name="_SQ01_M-08_triennal_DSNA" xfId="1033" xr:uid="{00000000-0005-0000-0000-000012040000}"/>
    <cellStyle name="_SQ01_MEDDE - dossier arbitrage PLF 2013-2015 arbitrage v1" xfId="1034" xr:uid="{00000000-0005-0000-0000-000013040000}"/>
    <cellStyle name="_SQ01_OPE_CAS pension_05juil_18h" xfId="1035" xr:uid="{00000000-0005-0000-0000-000014040000}"/>
    <cellStyle name="_SQ01_PLF 2012 - MCC - Arbitrages" xfId="1036" xr:uid="{00000000-0005-0000-0000-000015040000}"/>
    <cellStyle name="_SQ01_Synthèse_CAS_Pensions_17juil_22h30" xfId="1037" xr:uid="{00000000-0005-0000-0000-000016040000}"/>
    <cellStyle name="_SQ01_Synthèse_CAS_Pensions_29juin_19h" xfId="1038" xr:uid="{00000000-0005-0000-0000-000017040000}"/>
    <cellStyle name="_SQ01_Synthèse_CAS_Pensions_30juil_11h" xfId="1039" xr:uid="{00000000-0005-0000-0000-000018040000}"/>
    <cellStyle name="_Squelette PMT 22-02" xfId="1040" xr:uid="{00000000-0005-0000-0000-000019040000}"/>
    <cellStyle name="_Squelette PMT 22-02 2" xfId="1041" xr:uid="{00000000-0005-0000-0000-00001A040000}"/>
    <cellStyle name="_Squelette PMT 22-02_01.P614_DTA JPE 2014_V2-bis" xfId="1042" xr:uid="{00000000-0005-0000-0000-00001B040000}"/>
    <cellStyle name="_Squelette PMT 22-02_01.P614_DTA JPE 2014_V2-bis 2" xfId="1043" xr:uid="{00000000-0005-0000-0000-00001C040000}"/>
    <cellStyle name="_Squelette PMT 22-02_2013 03 05 ANNEXES circulaire sécurisation" xfId="1044" xr:uid="{00000000-0005-0000-0000-00001D040000}"/>
    <cellStyle name="_Squelette PMT 22-02_2013 03 05 arbitrages PLF 2014" xfId="1045" xr:uid="{00000000-0005-0000-0000-00001E040000}"/>
    <cellStyle name="_Squelette PMT 22-02_annexe5_arbitrage_OPE" xfId="1046" xr:uid="{00000000-0005-0000-0000-00001F040000}"/>
    <cellStyle name="_Squelette PMT 22-02_annexe5_circ_OPE (2)" xfId="1047" xr:uid="{00000000-0005-0000-0000-000020040000}"/>
    <cellStyle name="_Squelette PMT 22-02_Dépenses par titre et par action JPE2014" xfId="1048" xr:uid="{00000000-0005-0000-0000-000021040000}"/>
    <cellStyle name="_Squelette PMT 22-02_M-08_triennal_DSNA" xfId="1049" xr:uid="{00000000-0005-0000-0000-000022040000}"/>
    <cellStyle name="_Squelette PMT 22-02_MEDDE - dossier arbitrage PLF 2013-2015 arbitrage v1" xfId="1050" xr:uid="{00000000-0005-0000-0000-000023040000}"/>
    <cellStyle name="_Squelette PMT 22-02_OPE_CAS pension_05juil_18h" xfId="1051" xr:uid="{00000000-0005-0000-0000-000024040000}"/>
    <cellStyle name="_Squelette PMT 22-02_Synthèse_CAS_Pensions_17juil_22h30" xfId="1052" xr:uid="{00000000-0005-0000-0000-000025040000}"/>
    <cellStyle name="_Squelette PMT 22-02_Synthèse_CAS_Pensions_29juin_19h" xfId="1053" xr:uid="{00000000-0005-0000-0000-000026040000}"/>
    <cellStyle name="_Squelette PMT 22-02_Synthèse_CAS_Pensions_30juil_11h" xfId="1054" xr:uid="{00000000-0005-0000-0000-000027040000}"/>
    <cellStyle name="_SUIVI REPARTITION 09-14" xfId="1055" xr:uid="{00000000-0005-0000-0000-000028040000}"/>
    <cellStyle name="_SYNTHESE - DEFINITIF 13 avril" xfId="1056" xr:uid="{00000000-0005-0000-0000-000029040000}"/>
    <cellStyle name="_SYNTHESE - DEFINITIF 13 avril_PLF 2012 - MCC - Arbitrages" xfId="1057" xr:uid="{00000000-0005-0000-0000-00002A040000}"/>
    <cellStyle name="_synthèse APAFAR conférences budgétisation V5" xfId="1058" xr:uid="{00000000-0005-0000-0000-00002B040000}"/>
    <cellStyle name="_Synthèse Travail et emploi v3" xfId="1059" xr:uid="{00000000-0005-0000-0000-00002C040000}"/>
    <cellStyle name="_Synthèse Travail et emploi v4" xfId="1060" xr:uid="{00000000-0005-0000-0000-00002D040000}"/>
    <cellStyle name="_Synthèse_PMT_Emplois_23mars2012_17h16" xfId="1061" xr:uid="{00000000-0005-0000-0000-00002E040000}"/>
    <cellStyle name="_Synthèses_missions (10) (2)" xfId="1062" xr:uid="{00000000-0005-0000-0000-00002F040000}"/>
    <cellStyle name="_Synthèses_missions (10) (2) 2" xfId="1063" xr:uid="{00000000-0005-0000-0000-000030040000}"/>
    <cellStyle name="_Synthèses_missions (10) (2)_01.P614_DTA JPE 2014_V2-bis" xfId="1064" xr:uid="{00000000-0005-0000-0000-000031040000}"/>
    <cellStyle name="_Synthèses_missions (10) (2)_01.P614_DTA JPE 2014_V2-bis 2" xfId="1065" xr:uid="{00000000-0005-0000-0000-000032040000}"/>
    <cellStyle name="_Synthèses_missions (10) (2)_2013 03 05 ANNEXES circulaire sécurisation" xfId="1066" xr:uid="{00000000-0005-0000-0000-000033040000}"/>
    <cellStyle name="_Synthèses_missions (10) (2)_2013 03 05 arbitrages PLF 2014" xfId="1067" xr:uid="{00000000-0005-0000-0000-000034040000}"/>
    <cellStyle name="_Synthèses_missions (10) (2)_annexe5_arbitrage_OPE" xfId="1068" xr:uid="{00000000-0005-0000-0000-000035040000}"/>
    <cellStyle name="_Synthèses_missions (10) (2)_annexe5_circ_OPE (2)" xfId="1069" xr:uid="{00000000-0005-0000-0000-000036040000}"/>
    <cellStyle name="_Synthèses_missions (10) (2)_Classeur3" xfId="1070" xr:uid="{00000000-0005-0000-0000-000037040000}"/>
    <cellStyle name="_Synthèses_missions (10) (2)_Classeur4" xfId="1071" xr:uid="{00000000-0005-0000-0000-000038040000}"/>
    <cellStyle name="_Synthèses_missions (10) (2)_Classeur5" xfId="1072" xr:uid="{00000000-0005-0000-0000-000039040000}"/>
    <cellStyle name="_Synthèses_missions (10) (2)_Classeur6" xfId="1073" xr:uid="{00000000-0005-0000-0000-00003A040000}"/>
    <cellStyle name="_Synthèses_missions (10) (2)_Classeur7" xfId="1074" xr:uid="{00000000-0005-0000-0000-00003B040000}"/>
    <cellStyle name="_Synthèses_missions (10) (2)_Dépenses par titre et par action JPE2014" xfId="1075" xr:uid="{00000000-0005-0000-0000-00003C040000}"/>
    <cellStyle name="_Synthèses_missions (10) (2)_M-08_triennal_DSNA" xfId="1076" xr:uid="{00000000-0005-0000-0000-00003D040000}"/>
    <cellStyle name="_Synthèses_missions (10) (2)_MEDDE - dossier arbitrage PLF 2013-2015 arbitrage v1" xfId="1077" xr:uid="{00000000-0005-0000-0000-00003E040000}"/>
    <cellStyle name="_Synthèses_missions (10) (2)_OPE_CAS pension_05juil_18h" xfId="1078" xr:uid="{00000000-0005-0000-0000-00003F040000}"/>
    <cellStyle name="_Synthèses_missions (10) (2)_PLF 2012 - MCC - Arbitrages" xfId="1079" xr:uid="{00000000-0005-0000-0000-000040040000}"/>
    <cellStyle name="_Synthèses_missions (10) (2)_Synthèse_CAS_Pensions_17juil_22h30" xfId="1080" xr:uid="{00000000-0005-0000-0000-000041040000}"/>
    <cellStyle name="_Synthèses_missions (10) (2)_Synthèse_CAS_Pensions_29juin_19h" xfId="1081" xr:uid="{00000000-0005-0000-0000-000042040000}"/>
    <cellStyle name="_Synthèses_missions (10) (2)_Synthèse_CAS_Pensions_30juil_11h" xfId="1082" xr:uid="{00000000-0005-0000-0000-000043040000}"/>
    <cellStyle name="_Synthèses_missions (8)" xfId="1083" xr:uid="{00000000-0005-0000-0000-000044040000}"/>
    <cellStyle name="_Synthèses_missions (8) 2" xfId="1084" xr:uid="{00000000-0005-0000-0000-000045040000}"/>
    <cellStyle name="_Synthèses_missions (8)_01.P614_DTA JPE 2014_V2-bis" xfId="1085" xr:uid="{00000000-0005-0000-0000-000046040000}"/>
    <cellStyle name="_Synthèses_missions (8)_01.P614_DTA JPE 2014_V2-bis 2" xfId="1086" xr:uid="{00000000-0005-0000-0000-000047040000}"/>
    <cellStyle name="_Synthèses_missions (8)_2013 03 05 ANNEXES circulaire sécurisation" xfId="1087" xr:uid="{00000000-0005-0000-0000-000048040000}"/>
    <cellStyle name="_Synthèses_missions (8)_2013 03 05 arbitrages PLF 2014" xfId="1088" xr:uid="{00000000-0005-0000-0000-000049040000}"/>
    <cellStyle name="_Synthèses_missions (8)_annexe5_arbitrage_OPE" xfId="1089" xr:uid="{00000000-0005-0000-0000-00004A040000}"/>
    <cellStyle name="_Synthèses_missions (8)_annexe5_circ_OPE (2)" xfId="1090" xr:uid="{00000000-0005-0000-0000-00004B040000}"/>
    <cellStyle name="_Synthèses_missions (8)_Classeur3" xfId="1091" xr:uid="{00000000-0005-0000-0000-00004C040000}"/>
    <cellStyle name="_Synthèses_missions (8)_Classeur4" xfId="1092" xr:uid="{00000000-0005-0000-0000-00004D040000}"/>
    <cellStyle name="_Synthèses_missions (8)_Classeur5" xfId="1093" xr:uid="{00000000-0005-0000-0000-00004E040000}"/>
    <cellStyle name="_Synthèses_missions (8)_Classeur6" xfId="1094" xr:uid="{00000000-0005-0000-0000-00004F040000}"/>
    <cellStyle name="_Synthèses_missions (8)_Classeur7" xfId="1095" xr:uid="{00000000-0005-0000-0000-000050040000}"/>
    <cellStyle name="_Synthèses_missions (8)_Dépenses par titre et par action JPE2014" xfId="1096" xr:uid="{00000000-0005-0000-0000-000051040000}"/>
    <cellStyle name="_Synthèses_missions (8)_M-08_triennal_DSNA" xfId="1097" xr:uid="{00000000-0005-0000-0000-000052040000}"/>
    <cellStyle name="_Synthèses_missions (8)_MEDDE - dossier arbitrage PLF 2013-2015 arbitrage v1" xfId="1098" xr:uid="{00000000-0005-0000-0000-000053040000}"/>
    <cellStyle name="_Synthèses_missions (8)_OPE_CAS pension_05juil_18h" xfId="1099" xr:uid="{00000000-0005-0000-0000-000054040000}"/>
    <cellStyle name="_Synthèses_missions (8)_PLF 2012 - MCC - Arbitrages" xfId="1100" xr:uid="{00000000-0005-0000-0000-000055040000}"/>
    <cellStyle name="_Synthèses_missions (8)_Synthèse_CAS_Pensions_17juil_22h30" xfId="1101" xr:uid="{00000000-0005-0000-0000-000056040000}"/>
    <cellStyle name="_Synthèses_missions (8)_Synthèse_CAS_Pensions_29juin_19h" xfId="1102" xr:uid="{00000000-0005-0000-0000-000057040000}"/>
    <cellStyle name="_Synthèses_missions (8)_Synthèse_CAS_Pensions_30juil_11h" xfId="1103" xr:uid="{00000000-0005-0000-0000-000058040000}"/>
    <cellStyle name="_tableau slide 3 (2)" xfId="1104" xr:uid="{00000000-0005-0000-0000-000059040000}"/>
    <cellStyle name="_tableau slide 3 (2) 2" xfId="1105" xr:uid="{00000000-0005-0000-0000-00005A040000}"/>
    <cellStyle name="_Tableaux répartition GFPRH 2011-2013 (v2 post-conf répart )" xfId="1106" xr:uid="{00000000-0005-0000-0000-00005B040000}"/>
    <cellStyle name="_Tableaux répartition GFPRH 2011-2013 (v2 post-conf répart )_PLF 2012 - MCC - Arbitrages" xfId="1107" xr:uid="{00000000-0005-0000-0000-00005C040000}"/>
    <cellStyle name="_tableaux synthèse 175 CP et sous jacentsV2" xfId="1108" xr:uid="{00000000-0005-0000-0000-00005D040000}"/>
    <cellStyle name="_Tableaux_IGN_Synthèse_PMT" xfId="1109" xr:uid="{00000000-0005-0000-0000-00005E040000}"/>
    <cellStyle name="_Taxation PLFR_final yc intérieur (2) (8)" xfId="1110" xr:uid="{00000000-0005-0000-0000-00005F040000}"/>
    <cellStyle name="_TC10" xfId="1111" xr:uid="{00000000-0005-0000-0000-000060040000}"/>
    <cellStyle name="_TC10_PLF 2012 - MCC - Arbitrages" xfId="1112" xr:uid="{00000000-0005-0000-0000-000061040000}"/>
    <cellStyle name="_TC10_Triennal 2011-2013 détaillé V11" xfId="1113" xr:uid="{00000000-0005-0000-0000-000062040000}"/>
    <cellStyle name="_TC10_Triennal 2011-2013 détaillé V11_PLF 2012 - MCC - Arbitrages" xfId="1114" xr:uid="{00000000-0005-0000-0000-000063040000}"/>
    <cellStyle name="_TC2" xfId="1115" xr:uid="{00000000-0005-0000-0000-000064040000}"/>
    <cellStyle name="_TC2_PLF 2012 - MCC - Arbitrages" xfId="1116" xr:uid="{00000000-0005-0000-0000-000065040000}"/>
    <cellStyle name="_TC2_Triennal 2011-2013 détaillé V11" xfId="1117" xr:uid="{00000000-0005-0000-0000-000066040000}"/>
    <cellStyle name="_TC2_Triennal 2011-2013 détaillé V11_PLF 2012 - MCC - Arbitrages" xfId="1118" xr:uid="{00000000-0005-0000-0000-000067040000}"/>
    <cellStyle name="_TC27" xfId="1119" xr:uid="{00000000-0005-0000-0000-000068040000}"/>
    <cellStyle name="_TC27_PLF 2012 - MCC - Arbitrages" xfId="1120" xr:uid="{00000000-0005-0000-0000-000069040000}"/>
    <cellStyle name="_TC27_Triennal 2011-2013 détaillé V11" xfId="1121" xr:uid="{00000000-0005-0000-0000-00006A040000}"/>
    <cellStyle name="_TC27_Triennal 2011-2013 détaillé V11_PLF 2012 - MCC - Arbitrages" xfId="1122" xr:uid="{00000000-0005-0000-0000-00006B040000}"/>
    <cellStyle name="_TC28" xfId="1123" xr:uid="{00000000-0005-0000-0000-00006C040000}"/>
    <cellStyle name="_TC28_PLF 2012 - MCC - Arbitrages" xfId="1124" xr:uid="{00000000-0005-0000-0000-00006D040000}"/>
    <cellStyle name="_TC28_Triennal 2011-2013 détaillé V11" xfId="1125" xr:uid="{00000000-0005-0000-0000-00006E040000}"/>
    <cellStyle name="_TC28_Triennal 2011-2013 détaillé V11_PLF 2012 - MCC - Arbitrages" xfId="1126" xr:uid="{00000000-0005-0000-0000-00006F040000}"/>
    <cellStyle name="_TC4" xfId="1127" xr:uid="{00000000-0005-0000-0000-000070040000}"/>
    <cellStyle name="_TC4_PLF 2012 - MCC - Arbitrages" xfId="1128" xr:uid="{00000000-0005-0000-0000-000071040000}"/>
    <cellStyle name="_TC4_Triennal 2011-2013 détaillé V11" xfId="1129" xr:uid="{00000000-0005-0000-0000-000072040000}"/>
    <cellStyle name="_TC4_Triennal 2011-2013 détaillé V11_PLF 2012 - MCC - Arbitrages" xfId="1130" xr:uid="{00000000-0005-0000-0000-000073040000}"/>
    <cellStyle name="_TC6" xfId="1131" xr:uid="{00000000-0005-0000-0000-000074040000}"/>
    <cellStyle name="_TC6_PLF 2012 - MCC - Arbitrages" xfId="1132" xr:uid="{00000000-0005-0000-0000-000075040000}"/>
    <cellStyle name="_TC6_Triennal 2011-2013 détaillé V11" xfId="1133" xr:uid="{00000000-0005-0000-0000-000076040000}"/>
    <cellStyle name="_TC6_Triennal 2011-2013 détaillé V11_PLF 2012 - MCC - Arbitrages" xfId="1134" xr:uid="{00000000-0005-0000-0000-000077040000}"/>
    <cellStyle name="_UB 2013-2016 752  29022012" xfId="1135" xr:uid="{00000000-0005-0000-0000-000078040000}"/>
    <cellStyle name="_Version DB 4BT_BG_EDAD_PMT2" xfId="1136" xr:uid="{00000000-0005-0000-0000-000079040000}"/>
    <cellStyle name="£'000" xfId="1137" xr:uid="{00000000-0005-0000-0000-00007A040000}"/>
    <cellStyle name="£k" xfId="1138" xr:uid="{00000000-0005-0000-0000-00007B040000}"/>
    <cellStyle name="£k 2" xfId="1139" xr:uid="{00000000-0005-0000-0000-00007C040000}"/>
    <cellStyle name="£k 3" xfId="1140" xr:uid="{00000000-0005-0000-0000-00007D040000}"/>
    <cellStyle name="+" xfId="1141" xr:uid="{00000000-0005-0000-0000-00007E040000}"/>
    <cellStyle name="+ 2" xfId="1142" xr:uid="{00000000-0005-0000-0000-00007F040000}"/>
    <cellStyle name="+ 2 2" xfId="1143" xr:uid="{00000000-0005-0000-0000-000080040000}"/>
    <cellStyle name="+ 3" xfId="1144" xr:uid="{00000000-0005-0000-0000-000081040000}"/>
    <cellStyle name="+ 3 2" xfId="1145" xr:uid="{00000000-0005-0000-0000-000082040000}"/>
    <cellStyle name="+ 4" xfId="1146" xr:uid="{00000000-0005-0000-0000-000083040000}"/>
    <cellStyle name="+ 4 2" xfId="1147" xr:uid="{00000000-0005-0000-0000-000084040000}"/>
    <cellStyle name="+ 5" xfId="1148" xr:uid="{00000000-0005-0000-0000-000085040000}"/>
    <cellStyle name="+_PLF 2012 - MCC - Arbitrages" xfId="1149" xr:uid="{00000000-0005-0000-0000-000086040000}"/>
    <cellStyle name="0,0_x000a__x000a_NA_x000a__x000a_" xfId="1150" xr:uid="{00000000-0005-0000-0000-000087040000}"/>
    <cellStyle name="0,0_x000d__x000a_NA_x000d__x000a_" xfId="1151" xr:uid="{00000000-0005-0000-0000-000088040000}"/>
    <cellStyle name="0_DP_in" xfId="1152" xr:uid="{00000000-0005-0000-0000-000089040000}"/>
    <cellStyle name="0_DP_out" xfId="1153" xr:uid="{00000000-0005-0000-0000-00008A040000}"/>
    <cellStyle name="1 antraštė" xfId="1154" xr:uid="{00000000-0005-0000-0000-00008B040000}"/>
    <cellStyle name="10^-3" xfId="1155" xr:uid="{00000000-0005-0000-0000-00008C040000}"/>
    <cellStyle name="1000s (0)" xfId="1156" xr:uid="{00000000-0005-0000-0000-00008D040000}"/>
    <cellStyle name="2 antraštė" xfId="1157" xr:uid="{00000000-0005-0000-0000-00008E040000}"/>
    <cellStyle name="2_DP_in" xfId="1158" xr:uid="{00000000-0005-0000-0000-00008F040000}"/>
    <cellStyle name="2_DP_out" xfId="1159" xr:uid="{00000000-0005-0000-0000-000090040000}"/>
    <cellStyle name="20 % - Aksentti1" xfId="1160" xr:uid="{00000000-0005-0000-0000-000091040000}"/>
    <cellStyle name="20 % - Aksentti1 2" xfId="1161" xr:uid="{00000000-0005-0000-0000-000092040000}"/>
    <cellStyle name="20 % - Aksentti1 2 2" xfId="1162" xr:uid="{00000000-0005-0000-0000-000093040000}"/>
    <cellStyle name="20 % - Aksentti1 3" xfId="1163" xr:uid="{00000000-0005-0000-0000-000094040000}"/>
    <cellStyle name="20 % - Aksentti1_Additional information tables" xfId="1164" xr:uid="{00000000-0005-0000-0000-000095040000}"/>
    <cellStyle name="20 % - Aksentti2" xfId="1165" xr:uid="{00000000-0005-0000-0000-000096040000}"/>
    <cellStyle name="20 % - Aksentti2 2" xfId="1166" xr:uid="{00000000-0005-0000-0000-000097040000}"/>
    <cellStyle name="20 % - Aksentti2 2 2" xfId="1167" xr:uid="{00000000-0005-0000-0000-000098040000}"/>
    <cellStyle name="20 % - Aksentti2 3" xfId="1168" xr:uid="{00000000-0005-0000-0000-000099040000}"/>
    <cellStyle name="20 % - Aksentti2_Additional information tables" xfId="1169" xr:uid="{00000000-0005-0000-0000-00009A040000}"/>
    <cellStyle name="20 % - Aksentti3" xfId="1170" xr:uid="{00000000-0005-0000-0000-00009B040000}"/>
    <cellStyle name="20 % - Aksentti3 2" xfId="1171" xr:uid="{00000000-0005-0000-0000-00009C040000}"/>
    <cellStyle name="20 % - Aksentti3 2 2" xfId="1172" xr:uid="{00000000-0005-0000-0000-00009D040000}"/>
    <cellStyle name="20 % - Aksentti3 3" xfId="1173" xr:uid="{00000000-0005-0000-0000-00009E040000}"/>
    <cellStyle name="20 % - Aksentti3_Additional information tables" xfId="1174" xr:uid="{00000000-0005-0000-0000-00009F040000}"/>
    <cellStyle name="20 % - Aksentti4" xfId="1175" xr:uid="{00000000-0005-0000-0000-0000A0040000}"/>
    <cellStyle name="20 % - Aksentti4 2" xfId="1176" xr:uid="{00000000-0005-0000-0000-0000A1040000}"/>
    <cellStyle name="20 % - Aksentti4 2 2" xfId="1177" xr:uid="{00000000-0005-0000-0000-0000A2040000}"/>
    <cellStyle name="20 % - Aksentti4 3" xfId="1178" xr:uid="{00000000-0005-0000-0000-0000A3040000}"/>
    <cellStyle name="20 % - Aksentti4_Additional information tables" xfId="1179" xr:uid="{00000000-0005-0000-0000-0000A4040000}"/>
    <cellStyle name="20 % - Aksentti5" xfId="1180" xr:uid="{00000000-0005-0000-0000-0000A5040000}"/>
    <cellStyle name="20 % - Aksentti5 2" xfId="1181" xr:uid="{00000000-0005-0000-0000-0000A6040000}"/>
    <cellStyle name="20 % - Aksentti5 2 2" xfId="1182" xr:uid="{00000000-0005-0000-0000-0000A7040000}"/>
    <cellStyle name="20 % - Aksentti5 3" xfId="1183" xr:uid="{00000000-0005-0000-0000-0000A8040000}"/>
    <cellStyle name="20 % - Aksentti5_Additional information tables" xfId="1184" xr:uid="{00000000-0005-0000-0000-0000A9040000}"/>
    <cellStyle name="20 % - Aksentti6" xfId="1185" xr:uid="{00000000-0005-0000-0000-0000AA040000}"/>
    <cellStyle name="20 % - Aksentti6 2" xfId="1186" xr:uid="{00000000-0005-0000-0000-0000AB040000}"/>
    <cellStyle name="20 % - Aksentti6 2 2" xfId="1187" xr:uid="{00000000-0005-0000-0000-0000AC040000}"/>
    <cellStyle name="20 % - Aksentti6 3" xfId="1188" xr:uid="{00000000-0005-0000-0000-0000AD040000}"/>
    <cellStyle name="20 % - Aksentti6_Additional information tables" xfId="1189" xr:uid="{00000000-0005-0000-0000-0000AE040000}"/>
    <cellStyle name="20 % - Akzent1" xfId="1190" xr:uid="{00000000-0005-0000-0000-0000AF040000}"/>
    <cellStyle name="20 % - Akzent2" xfId="1191" xr:uid="{00000000-0005-0000-0000-0000B0040000}"/>
    <cellStyle name="20 % - Akzent3" xfId="1192" xr:uid="{00000000-0005-0000-0000-0000B1040000}"/>
    <cellStyle name="20 % - Akzent4" xfId="1193" xr:uid="{00000000-0005-0000-0000-0000B2040000}"/>
    <cellStyle name="20 % - Akzent5" xfId="1194" xr:uid="{00000000-0005-0000-0000-0000B3040000}"/>
    <cellStyle name="20 % - Akzent6" xfId="1195" xr:uid="{00000000-0005-0000-0000-0000B4040000}"/>
    <cellStyle name="20 % - Markeringsfarve1" xfId="1196" xr:uid="{00000000-0005-0000-0000-0000B5040000}"/>
    <cellStyle name="20 % - Markeringsfarve1 2" xfId="1197" xr:uid="{00000000-0005-0000-0000-0000B6040000}"/>
    <cellStyle name="20 % - Markeringsfarve2" xfId="1198" xr:uid="{00000000-0005-0000-0000-0000B7040000}"/>
    <cellStyle name="20 % - Markeringsfarve2 2" xfId="1199" xr:uid="{00000000-0005-0000-0000-0000B8040000}"/>
    <cellStyle name="20 % - Markeringsfarve3" xfId="1200" xr:uid="{00000000-0005-0000-0000-0000B9040000}"/>
    <cellStyle name="20 % - Markeringsfarve3 2" xfId="1201" xr:uid="{00000000-0005-0000-0000-0000BA040000}"/>
    <cellStyle name="20 % - Markeringsfarve4" xfId="1202" xr:uid="{00000000-0005-0000-0000-0000BB040000}"/>
    <cellStyle name="20 % - Markeringsfarve4 2" xfId="1203" xr:uid="{00000000-0005-0000-0000-0000BC040000}"/>
    <cellStyle name="20 % - Markeringsfarve5" xfId="1204" xr:uid="{00000000-0005-0000-0000-0000BD040000}"/>
    <cellStyle name="20 % - Markeringsfarve5 2" xfId="1205" xr:uid="{00000000-0005-0000-0000-0000BE040000}"/>
    <cellStyle name="20 % - Markeringsfarve6" xfId="1206" xr:uid="{00000000-0005-0000-0000-0000BF040000}"/>
    <cellStyle name="20 % - Markeringsfarve6 2" xfId="1207" xr:uid="{00000000-0005-0000-0000-0000C0040000}"/>
    <cellStyle name="20 % – uthevingsfarge 1" xfId="1296" builtinId="30" customBuiltin="1"/>
    <cellStyle name="20 % – uthevingsfarge 2" xfId="1299" builtinId="34" customBuiltin="1"/>
    <cellStyle name="20 % – uthevingsfarge 3" xfId="1302" builtinId="38" customBuiltin="1"/>
    <cellStyle name="20 % – uthevingsfarge 4" xfId="1305" builtinId="42" customBuiltin="1"/>
    <cellStyle name="20 % – uthevingsfarge 5" xfId="1308" builtinId="46" customBuiltin="1"/>
    <cellStyle name="20 % – uthevingsfarge 6" xfId="1311" builtinId="50" customBuiltin="1"/>
    <cellStyle name="20 % – Zvýraznění1" xfId="1208" xr:uid="{00000000-0005-0000-0000-0000C1040000}"/>
    <cellStyle name="20 % – Zvýraznění2" xfId="1209" xr:uid="{00000000-0005-0000-0000-0000C2040000}"/>
    <cellStyle name="20 % – Zvýraznění3" xfId="1210" xr:uid="{00000000-0005-0000-0000-0000C3040000}"/>
    <cellStyle name="20 % – Zvýraznění4" xfId="1211" xr:uid="{00000000-0005-0000-0000-0000C4040000}"/>
    <cellStyle name="20 % – Zvýraznění5" xfId="1212" xr:uid="{00000000-0005-0000-0000-0000C5040000}"/>
    <cellStyle name="20 % – Zvýraznění6" xfId="1213" xr:uid="{00000000-0005-0000-0000-0000C6040000}"/>
    <cellStyle name="20 % - Accent1 2" xfId="1214" xr:uid="{00000000-0005-0000-0000-0000C7040000}"/>
    <cellStyle name="20 % - Accent1 2 2" xfId="1215" xr:uid="{00000000-0005-0000-0000-0000C8040000}"/>
    <cellStyle name="20 % - Accent1 2 2 2" xfId="1216" xr:uid="{00000000-0005-0000-0000-0000C9040000}"/>
    <cellStyle name="20 % - Accent1 2 3" xfId="1217" xr:uid="{00000000-0005-0000-0000-0000CA040000}"/>
    <cellStyle name="20 % - Accent1 2_Copie de 130905 DSNA 2011 Dossier de révision initial KG _ Autre Prod vendue" xfId="1218" xr:uid="{00000000-0005-0000-0000-0000CB040000}"/>
    <cellStyle name="20 % - Accent1 3" xfId="1219" xr:uid="{00000000-0005-0000-0000-0000CC040000}"/>
    <cellStyle name="20 % - Accent1 3 2" xfId="1220" xr:uid="{00000000-0005-0000-0000-0000CD040000}"/>
    <cellStyle name="20 % - Accent1 3 3" xfId="1221" xr:uid="{00000000-0005-0000-0000-0000CE040000}"/>
    <cellStyle name="20 % - Accent1 4" xfId="1222" xr:uid="{00000000-0005-0000-0000-0000CF040000}"/>
    <cellStyle name="20 % - Accent1 4 2" xfId="1223" xr:uid="{00000000-0005-0000-0000-0000D0040000}"/>
    <cellStyle name="20 % - Accent1 5" xfId="1224" xr:uid="{00000000-0005-0000-0000-0000D1040000}"/>
    <cellStyle name="20 % - Accent1 5 2" xfId="1225" xr:uid="{00000000-0005-0000-0000-0000D2040000}"/>
    <cellStyle name="20 % - Accent1 6" xfId="1226" xr:uid="{00000000-0005-0000-0000-0000D3040000}"/>
    <cellStyle name="20 % - Accent2 2" xfId="1227" xr:uid="{00000000-0005-0000-0000-0000D4040000}"/>
    <cellStyle name="20 % - Accent2 2 2" xfId="1228" xr:uid="{00000000-0005-0000-0000-0000D5040000}"/>
    <cellStyle name="20 % - Accent2 2 2 2" xfId="1229" xr:uid="{00000000-0005-0000-0000-0000D6040000}"/>
    <cellStyle name="20 % - Accent2 2 3" xfId="1230" xr:uid="{00000000-0005-0000-0000-0000D7040000}"/>
    <cellStyle name="20 % - Accent2 2_Copie de 130905 DSNA 2011 Dossier de révision initial KG _ Autre Prod vendue" xfId="1231" xr:uid="{00000000-0005-0000-0000-0000D8040000}"/>
    <cellStyle name="20 % - Accent2 3" xfId="1232" xr:uid="{00000000-0005-0000-0000-0000D9040000}"/>
    <cellStyle name="20 % - Accent2 3 2" xfId="1233" xr:uid="{00000000-0005-0000-0000-0000DA040000}"/>
    <cellStyle name="20 % - Accent2 3 3" xfId="1234" xr:uid="{00000000-0005-0000-0000-0000DB040000}"/>
    <cellStyle name="20 % - Accent2 4" xfId="1235" xr:uid="{00000000-0005-0000-0000-0000DC040000}"/>
    <cellStyle name="20 % - Accent2 4 2" xfId="1236" xr:uid="{00000000-0005-0000-0000-0000DD040000}"/>
    <cellStyle name="20 % - Accent2 5" xfId="1237" xr:uid="{00000000-0005-0000-0000-0000DE040000}"/>
    <cellStyle name="20 % - Accent2 5 2" xfId="1238" xr:uid="{00000000-0005-0000-0000-0000DF040000}"/>
    <cellStyle name="20 % - Accent2 6" xfId="1239" xr:uid="{00000000-0005-0000-0000-0000E0040000}"/>
    <cellStyle name="20 % - Accent3 2" xfId="1240" xr:uid="{00000000-0005-0000-0000-0000E1040000}"/>
    <cellStyle name="20 % - Accent3 2 2" xfId="1241" xr:uid="{00000000-0005-0000-0000-0000E2040000}"/>
    <cellStyle name="20 % - Accent3 2 2 2" xfId="1242" xr:uid="{00000000-0005-0000-0000-0000E3040000}"/>
    <cellStyle name="20 % - Accent3 2 3" xfId="1243" xr:uid="{00000000-0005-0000-0000-0000E4040000}"/>
    <cellStyle name="20 % - Accent3 2_Copie de 130905 DSNA 2011 Dossier de révision initial KG _ Autre Prod vendue" xfId="1244" xr:uid="{00000000-0005-0000-0000-0000E5040000}"/>
    <cellStyle name="20 % - Accent3 3" xfId="1245" xr:uid="{00000000-0005-0000-0000-0000E6040000}"/>
    <cellStyle name="20 % - Accent3 3 2" xfId="1246" xr:uid="{00000000-0005-0000-0000-0000E7040000}"/>
    <cellStyle name="20 % - Accent3 3 3" xfId="1247" xr:uid="{00000000-0005-0000-0000-0000E8040000}"/>
    <cellStyle name="20 % - Accent3 4" xfId="1248" xr:uid="{00000000-0005-0000-0000-0000E9040000}"/>
    <cellStyle name="20 % - Accent3 4 2" xfId="1249" xr:uid="{00000000-0005-0000-0000-0000EA040000}"/>
    <cellStyle name="20 % - Accent3 5" xfId="1250" xr:uid="{00000000-0005-0000-0000-0000EB040000}"/>
    <cellStyle name="20 % - Accent3 5 2" xfId="1251" xr:uid="{00000000-0005-0000-0000-0000EC040000}"/>
    <cellStyle name="20 % - Accent3 6" xfId="1252" xr:uid="{00000000-0005-0000-0000-0000ED040000}"/>
    <cellStyle name="20 % - Accent4 2" xfId="1253" xr:uid="{00000000-0005-0000-0000-0000EE040000}"/>
    <cellStyle name="20 % - Accent4 2 2" xfId="1254" xr:uid="{00000000-0005-0000-0000-0000EF040000}"/>
    <cellStyle name="20 % - Accent4 2 2 2" xfId="1255" xr:uid="{00000000-0005-0000-0000-0000F0040000}"/>
    <cellStyle name="20 % - Accent4 2 3" xfId="1256" xr:uid="{00000000-0005-0000-0000-0000F1040000}"/>
    <cellStyle name="20 % - Accent4 2_Copie de 130905 DSNA 2011 Dossier de révision initial KG _ Autre Prod vendue" xfId="1257" xr:uid="{00000000-0005-0000-0000-0000F2040000}"/>
    <cellStyle name="20 % - Accent4 3" xfId="1258" xr:uid="{00000000-0005-0000-0000-0000F3040000}"/>
    <cellStyle name="20 % - Accent4 3 2" xfId="1259" xr:uid="{00000000-0005-0000-0000-0000F4040000}"/>
    <cellStyle name="20 % - Accent4 3 3" xfId="1260" xr:uid="{00000000-0005-0000-0000-0000F5040000}"/>
    <cellStyle name="20 % - Accent4 4" xfId="1261" xr:uid="{00000000-0005-0000-0000-0000F6040000}"/>
    <cellStyle name="20 % - Accent4 4 2" xfId="1262" xr:uid="{00000000-0005-0000-0000-0000F7040000}"/>
    <cellStyle name="20 % - Accent4 5" xfId="1263" xr:uid="{00000000-0005-0000-0000-0000F8040000}"/>
    <cellStyle name="20 % - Accent4 5 2" xfId="1264" xr:uid="{00000000-0005-0000-0000-0000F9040000}"/>
    <cellStyle name="20 % - Accent4 6" xfId="1265" xr:uid="{00000000-0005-0000-0000-0000FA040000}"/>
    <cellStyle name="20 % - Accent5 2" xfId="1266" xr:uid="{00000000-0005-0000-0000-0000FB040000}"/>
    <cellStyle name="20 % - Accent5 2 2" xfId="1267" xr:uid="{00000000-0005-0000-0000-0000FC040000}"/>
    <cellStyle name="20 % - Accent5 2 2 2" xfId="1268" xr:uid="{00000000-0005-0000-0000-0000FD040000}"/>
    <cellStyle name="20 % - Accent5 2 3" xfId="1269" xr:uid="{00000000-0005-0000-0000-0000FE040000}"/>
    <cellStyle name="20 % - Accent5 2_Copie de 130905 DSNA 2011 Dossier de révision initial KG _ Autre Prod vendue" xfId="1270" xr:uid="{00000000-0005-0000-0000-0000FF040000}"/>
    <cellStyle name="20 % - Accent5 3" xfId="1271" xr:uid="{00000000-0005-0000-0000-000000050000}"/>
    <cellStyle name="20 % - Accent5 3 2" xfId="1272" xr:uid="{00000000-0005-0000-0000-000001050000}"/>
    <cellStyle name="20 % - Accent5 3 3" xfId="1273" xr:uid="{00000000-0005-0000-0000-000002050000}"/>
    <cellStyle name="20 % - Accent5 4" xfId="1274" xr:uid="{00000000-0005-0000-0000-000003050000}"/>
    <cellStyle name="20 % - Accent5 5" xfId="1275" xr:uid="{00000000-0005-0000-0000-000004050000}"/>
    <cellStyle name="20 % - Accent5 5 2" xfId="1276" xr:uid="{00000000-0005-0000-0000-000005050000}"/>
    <cellStyle name="20 % - Accent5 6" xfId="1277" xr:uid="{00000000-0005-0000-0000-000006050000}"/>
    <cellStyle name="20 % - Accent6 2" xfId="1278" xr:uid="{00000000-0005-0000-0000-000007050000}"/>
    <cellStyle name="20 % - Accent6 2 2" xfId="1279" xr:uid="{00000000-0005-0000-0000-000008050000}"/>
    <cellStyle name="20 % - Accent6 2 2 2" xfId="1280" xr:uid="{00000000-0005-0000-0000-000009050000}"/>
    <cellStyle name="20 % - Accent6 2 3" xfId="1281" xr:uid="{00000000-0005-0000-0000-00000A050000}"/>
    <cellStyle name="20 % - Accent6 2_Copie de 130905 DSNA 2011 Dossier de révision initial KG _ Autre Prod vendue" xfId="1282" xr:uid="{00000000-0005-0000-0000-00000B050000}"/>
    <cellStyle name="20 % - Accent6 3" xfId="1283" xr:uid="{00000000-0005-0000-0000-00000C050000}"/>
    <cellStyle name="20 % - Accent6 3 2" xfId="1284" xr:uid="{00000000-0005-0000-0000-00000D050000}"/>
    <cellStyle name="20 % - Accent6 3 3" xfId="1285" xr:uid="{00000000-0005-0000-0000-00000E050000}"/>
    <cellStyle name="20 % - Accent6 4" xfId="1286" xr:uid="{00000000-0005-0000-0000-00000F050000}"/>
    <cellStyle name="20 % - Accent6 5" xfId="1287" xr:uid="{00000000-0005-0000-0000-000010050000}"/>
    <cellStyle name="20 % - Accent6 5 2" xfId="1288" xr:uid="{00000000-0005-0000-0000-000011050000}"/>
    <cellStyle name="20 % - Accent6 6" xfId="1289" xr:uid="{00000000-0005-0000-0000-000012050000}"/>
    <cellStyle name="20% - 1. jelölőszín 2" xfId="1290" xr:uid="{00000000-0005-0000-0000-000013050000}"/>
    <cellStyle name="20% - 2. jelölőszín 2" xfId="1291" xr:uid="{00000000-0005-0000-0000-000014050000}"/>
    <cellStyle name="20% - 3. jelölőszín 2" xfId="1292" xr:uid="{00000000-0005-0000-0000-000015050000}"/>
    <cellStyle name="20% - 4. jelölőszín 2" xfId="1293" xr:uid="{00000000-0005-0000-0000-000016050000}"/>
    <cellStyle name="20% - 5. jelölőszín 2" xfId="1294" xr:uid="{00000000-0005-0000-0000-000017050000}"/>
    <cellStyle name="20% - 6. jelölőszín 2" xfId="1295" xr:uid="{00000000-0005-0000-0000-000018050000}"/>
    <cellStyle name="20% - Accent1 2" xfId="1297" xr:uid="{00000000-0005-0000-0000-00001A050000}"/>
    <cellStyle name="20% - Accent1 2 2" xfId="1298" xr:uid="{00000000-0005-0000-0000-00001B050000}"/>
    <cellStyle name="20% - Accent2 2" xfId="1300" xr:uid="{00000000-0005-0000-0000-00001D050000}"/>
    <cellStyle name="20% - Accent2 2 2" xfId="1301" xr:uid="{00000000-0005-0000-0000-00001E050000}"/>
    <cellStyle name="20% - Accent3 2" xfId="1303" xr:uid="{00000000-0005-0000-0000-000020050000}"/>
    <cellStyle name="20% - Accent3 2 2" xfId="1304" xr:uid="{00000000-0005-0000-0000-000021050000}"/>
    <cellStyle name="20% - Accent4 2" xfId="1306" xr:uid="{00000000-0005-0000-0000-000023050000}"/>
    <cellStyle name="20% - Accent4 2 2" xfId="1307" xr:uid="{00000000-0005-0000-0000-000024050000}"/>
    <cellStyle name="20% - Accent5 2" xfId="1309" xr:uid="{00000000-0005-0000-0000-000026050000}"/>
    <cellStyle name="20% - Accent5 2 2" xfId="1310" xr:uid="{00000000-0005-0000-0000-000027050000}"/>
    <cellStyle name="20% - Accent6 2" xfId="1312" xr:uid="{00000000-0005-0000-0000-000029050000}"/>
    <cellStyle name="20% - Accent6 2 2" xfId="1313" xr:uid="{00000000-0005-0000-0000-00002A050000}"/>
    <cellStyle name="20% - akcent 1" xfId="1314" xr:uid="{00000000-0005-0000-0000-00002B050000}"/>
    <cellStyle name="20% - akcent 1 2" xfId="1315" xr:uid="{00000000-0005-0000-0000-00002C050000}"/>
    <cellStyle name="20% - akcent 2" xfId="1316" xr:uid="{00000000-0005-0000-0000-00002D050000}"/>
    <cellStyle name="20% - akcent 2 2" xfId="1317" xr:uid="{00000000-0005-0000-0000-00002E050000}"/>
    <cellStyle name="20% - akcent 3" xfId="1318" xr:uid="{00000000-0005-0000-0000-00002F050000}"/>
    <cellStyle name="20% - akcent 3 2" xfId="1319" xr:uid="{00000000-0005-0000-0000-000030050000}"/>
    <cellStyle name="20% - akcent 4" xfId="1320" xr:uid="{00000000-0005-0000-0000-000031050000}"/>
    <cellStyle name="20% - akcent 4 2" xfId="1321" xr:uid="{00000000-0005-0000-0000-000032050000}"/>
    <cellStyle name="20% - akcent 5" xfId="1322" xr:uid="{00000000-0005-0000-0000-000033050000}"/>
    <cellStyle name="20% - akcent 5 2" xfId="1323" xr:uid="{00000000-0005-0000-0000-000034050000}"/>
    <cellStyle name="20% - akcent 6" xfId="1324" xr:uid="{00000000-0005-0000-0000-000035050000}"/>
    <cellStyle name="20% - akcent 6 2" xfId="1325" xr:uid="{00000000-0005-0000-0000-000036050000}"/>
    <cellStyle name="20% - Akzent1" xfId="1326" xr:uid="{00000000-0005-0000-0000-000037050000}"/>
    <cellStyle name="20% - Akzent1 2" xfId="1327" xr:uid="{00000000-0005-0000-0000-000038050000}"/>
    <cellStyle name="20% - Akzent1 3" xfId="1328" xr:uid="{00000000-0005-0000-0000-000039050000}"/>
    <cellStyle name="20% - Akzent2" xfId="1329" xr:uid="{00000000-0005-0000-0000-00003A050000}"/>
    <cellStyle name="20% - Akzent2 2" xfId="1330" xr:uid="{00000000-0005-0000-0000-00003B050000}"/>
    <cellStyle name="20% - Akzent2 3" xfId="1331" xr:uid="{00000000-0005-0000-0000-00003C050000}"/>
    <cellStyle name="20% - Akzent3" xfId="1332" xr:uid="{00000000-0005-0000-0000-00003D050000}"/>
    <cellStyle name="20% - Akzent3 2" xfId="1333" xr:uid="{00000000-0005-0000-0000-00003E050000}"/>
    <cellStyle name="20% - Akzent3 3" xfId="1334" xr:uid="{00000000-0005-0000-0000-00003F050000}"/>
    <cellStyle name="20% - Akzent4" xfId="1335" xr:uid="{00000000-0005-0000-0000-000040050000}"/>
    <cellStyle name="20% - Akzent4 2" xfId="1336" xr:uid="{00000000-0005-0000-0000-000041050000}"/>
    <cellStyle name="20% - Akzent4 3" xfId="1337" xr:uid="{00000000-0005-0000-0000-000042050000}"/>
    <cellStyle name="20% - Akzent5" xfId="1338" xr:uid="{00000000-0005-0000-0000-000043050000}"/>
    <cellStyle name="20% - Akzent5 2" xfId="1339" xr:uid="{00000000-0005-0000-0000-000044050000}"/>
    <cellStyle name="20% - Akzent5 3" xfId="1340" xr:uid="{00000000-0005-0000-0000-000045050000}"/>
    <cellStyle name="20% - Akzent6" xfId="1341" xr:uid="{00000000-0005-0000-0000-000046050000}"/>
    <cellStyle name="20% - Akzent6 2" xfId="1342" xr:uid="{00000000-0005-0000-0000-000047050000}"/>
    <cellStyle name="20% - Akzent6 3" xfId="1343" xr:uid="{00000000-0005-0000-0000-000048050000}"/>
    <cellStyle name="20% - Colore 1 2" xfId="1344" xr:uid="{00000000-0005-0000-0000-000049050000}"/>
    <cellStyle name="20% - Colore 1 3" xfId="1345" xr:uid="{00000000-0005-0000-0000-00004A050000}"/>
    <cellStyle name="20% - Colore 2 2" xfId="1346" xr:uid="{00000000-0005-0000-0000-00004B050000}"/>
    <cellStyle name="20% - Colore 2 3" xfId="1347" xr:uid="{00000000-0005-0000-0000-00004C050000}"/>
    <cellStyle name="20% - Colore 3 2" xfId="1348" xr:uid="{00000000-0005-0000-0000-00004D050000}"/>
    <cellStyle name="20% - Colore 3 3" xfId="1349" xr:uid="{00000000-0005-0000-0000-00004E050000}"/>
    <cellStyle name="20% - Colore 4 2" xfId="1350" xr:uid="{00000000-0005-0000-0000-00004F050000}"/>
    <cellStyle name="20% - Colore 4 3" xfId="1351" xr:uid="{00000000-0005-0000-0000-000050050000}"/>
    <cellStyle name="20% - Colore 5 2" xfId="1352" xr:uid="{00000000-0005-0000-0000-000051050000}"/>
    <cellStyle name="20% - Colore 5 3" xfId="1353" xr:uid="{00000000-0005-0000-0000-000052050000}"/>
    <cellStyle name="20% - Colore 6 2" xfId="1354" xr:uid="{00000000-0005-0000-0000-000053050000}"/>
    <cellStyle name="20% - Colore 6 3" xfId="1355" xr:uid="{00000000-0005-0000-0000-000054050000}"/>
    <cellStyle name="20% - Dekorfärg1" xfId="1356" xr:uid="{00000000-0005-0000-0000-000055050000}"/>
    <cellStyle name="20% - Dekorfärg1 2" xfId="1357" xr:uid="{00000000-0005-0000-0000-000056050000}"/>
    <cellStyle name="20% - Dekorfärg2" xfId="1358" xr:uid="{00000000-0005-0000-0000-000057050000}"/>
    <cellStyle name="20% - Dekorfärg2 2" xfId="1359" xr:uid="{00000000-0005-0000-0000-000058050000}"/>
    <cellStyle name="20% - Dekorfärg3" xfId="1360" xr:uid="{00000000-0005-0000-0000-000059050000}"/>
    <cellStyle name="20% - Dekorfärg3 2" xfId="1361" xr:uid="{00000000-0005-0000-0000-00005A050000}"/>
    <cellStyle name="20% - Dekorfärg4" xfId="1362" xr:uid="{00000000-0005-0000-0000-00005B050000}"/>
    <cellStyle name="20% - Dekorfärg4 2" xfId="1363" xr:uid="{00000000-0005-0000-0000-00005C050000}"/>
    <cellStyle name="20% - Dekorfärg5" xfId="1364" xr:uid="{00000000-0005-0000-0000-00005D050000}"/>
    <cellStyle name="20% - Dekorfärg5 2" xfId="1365" xr:uid="{00000000-0005-0000-0000-00005E050000}"/>
    <cellStyle name="20% - Dekorfärg6" xfId="1366" xr:uid="{00000000-0005-0000-0000-00005F050000}"/>
    <cellStyle name="20% - Dekorfärg6 2" xfId="1367" xr:uid="{00000000-0005-0000-0000-000060050000}"/>
    <cellStyle name="20% - Énfasis1" xfId="1368" xr:uid="{00000000-0005-0000-0000-000061050000}"/>
    <cellStyle name="20% - Énfasis1 2" xfId="1369" xr:uid="{00000000-0005-0000-0000-000062050000}"/>
    <cellStyle name="20% - Énfasis2" xfId="1370" xr:uid="{00000000-0005-0000-0000-000063050000}"/>
    <cellStyle name="20% - Énfasis2 2" xfId="1371" xr:uid="{00000000-0005-0000-0000-000064050000}"/>
    <cellStyle name="20% - Énfasis3" xfId="1372" xr:uid="{00000000-0005-0000-0000-000065050000}"/>
    <cellStyle name="20% - Énfasis3 2" xfId="1373" xr:uid="{00000000-0005-0000-0000-000066050000}"/>
    <cellStyle name="20% - Énfasis4" xfId="1374" xr:uid="{00000000-0005-0000-0000-000067050000}"/>
    <cellStyle name="20% - Énfasis4 2" xfId="1375" xr:uid="{00000000-0005-0000-0000-000068050000}"/>
    <cellStyle name="20% - Énfasis5" xfId="1376" xr:uid="{00000000-0005-0000-0000-000069050000}"/>
    <cellStyle name="20% - Énfasis5 2" xfId="1377" xr:uid="{00000000-0005-0000-0000-00006A050000}"/>
    <cellStyle name="20% - Énfasis6" xfId="1378" xr:uid="{00000000-0005-0000-0000-00006B050000}"/>
    <cellStyle name="20% - Énfasis6 2" xfId="1379" xr:uid="{00000000-0005-0000-0000-00006C050000}"/>
    <cellStyle name="20% – paryškinimas 1" xfId="1380" xr:uid="{00000000-0005-0000-0000-00006D050000}"/>
    <cellStyle name="20% – paryškinimas 1 2" xfId="1381" xr:uid="{00000000-0005-0000-0000-00006E050000}"/>
    <cellStyle name="20% – paryškinimas 2" xfId="1382" xr:uid="{00000000-0005-0000-0000-00006F050000}"/>
    <cellStyle name="20% – paryškinimas 2 2" xfId="1383" xr:uid="{00000000-0005-0000-0000-000070050000}"/>
    <cellStyle name="20% – paryškinimas 3" xfId="1384" xr:uid="{00000000-0005-0000-0000-000071050000}"/>
    <cellStyle name="20% – paryškinimas 3 2" xfId="1385" xr:uid="{00000000-0005-0000-0000-000072050000}"/>
    <cellStyle name="20% – paryškinimas 4" xfId="1386" xr:uid="{00000000-0005-0000-0000-000073050000}"/>
    <cellStyle name="20% – paryškinimas 4 2" xfId="1387" xr:uid="{00000000-0005-0000-0000-000074050000}"/>
    <cellStyle name="20% – paryškinimas 5" xfId="1388" xr:uid="{00000000-0005-0000-0000-000075050000}"/>
    <cellStyle name="20% – paryškinimas 5 2" xfId="1389" xr:uid="{00000000-0005-0000-0000-000076050000}"/>
    <cellStyle name="20% – paryškinimas 6" xfId="1390" xr:uid="{00000000-0005-0000-0000-000077050000}"/>
    <cellStyle name="20% – paryškinimas 6 2" xfId="1391" xr:uid="{00000000-0005-0000-0000-000078050000}"/>
    <cellStyle name="20% – rõhk1" xfId="1392" xr:uid="{00000000-0005-0000-0000-000079050000}"/>
    <cellStyle name="20% – rõhk1 2" xfId="1393" xr:uid="{00000000-0005-0000-0000-00007A050000}"/>
    <cellStyle name="20% – rõhk1 3" xfId="1394" xr:uid="{00000000-0005-0000-0000-00007B050000}"/>
    <cellStyle name="20% – rõhk2" xfId="1395" xr:uid="{00000000-0005-0000-0000-00007C050000}"/>
    <cellStyle name="20% – rõhk2 2" xfId="1396" xr:uid="{00000000-0005-0000-0000-00007D050000}"/>
    <cellStyle name="20% – rõhk2 3" xfId="1397" xr:uid="{00000000-0005-0000-0000-00007E050000}"/>
    <cellStyle name="20% – rõhk3" xfId="1398" xr:uid="{00000000-0005-0000-0000-00007F050000}"/>
    <cellStyle name="20% – rõhk3 2" xfId="1399" xr:uid="{00000000-0005-0000-0000-000080050000}"/>
    <cellStyle name="20% – rõhk3 3" xfId="1400" xr:uid="{00000000-0005-0000-0000-000081050000}"/>
    <cellStyle name="20% – rõhk4" xfId="1401" xr:uid="{00000000-0005-0000-0000-000082050000}"/>
    <cellStyle name="20% – rõhk4 2" xfId="1402" xr:uid="{00000000-0005-0000-0000-000083050000}"/>
    <cellStyle name="20% – rõhk4 3" xfId="1403" xr:uid="{00000000-0005-0000-0000-000084050000}"/>
    <cellStyle name="20% – rõhk5" xfId="1404" xr:uid="{00000000-0005-0000-0000-000085050000}"/>
    <cellStyle name="20% – rõhk5 2" xfId="1405" xr:uid="{00000000-0005-0000-0000-000086050000}"/>
    <cellStyle name="20% – rõhk5 3" xfId="1406" xr:uid="{00000000-0005-0000-0000-000087050000}"/>
    <cellStyle name="20% – rõhk6" xfId="1407" xr:uid="{00000000-0005-0000-0000-000088050000}"/>
    <cellStyle name="20% – rõhk6 2" xfId="1408" xr:uid="{00000000-0005-0000-0000-000089050000}"/>
    <cellStyle name="20% – rõhk6 3" xfId="1409" xr:uid="{00000000-0005-0000-0000-00008A050000}"/>
    <cellStyle name="20% - Акцент1" xfId="1410" xr:uid="{00000000-0005-0000-0000-00008B050000}"/>
    <cellStyle name="20% - Акцент1 2" xfId="1411" xr:uid="{00000000-0005-0000-0000-00008C050000}"/>
    <cellStyle name="20% - Акцент1 3" xfId="1412" xr:uid="{00000000-0005-0000-0000-00008D050000}"/>
    <cellStyle name="20% - Акцент2" xfId="1413" xr:uid="{00000000-0005-0000-0000-00008E050000}"/>
    <cellStyle name="20% - Акцент2 2" xfId="1414" xr:uid="{00000000-0005-0000-0000-00008F050000}"/>
    <cellStyle name="20% - Акцент2 3" xfId="1415" xr:uid="{00000000-0005-0000-0000-000090050000}"/>
    <cellStyle name="20% - Акцент3" xfId="1416" xr:uid="{00000000-0005-0000-0000-000091050000}"/>
    <cellStyle name="20% - Акцент3 2" xfId="1417" xr:uid="{00000000-0005-0000-0000-000092050000}"/>
    <cellStyle name="20% - Акцент3 3" xfId="1418" xr:uid="{00000000-0005-0000-0000-000093050000}"/>
    <cellStyle name="20% - Акцент4" xfId="1419" xr:uid="{00000000-0005-0000-0000-000094050000}"/>
    <cellStyle name="20% - Акцент4 2" xfId="1420" xr:uid="{00000000-0005-0000-0000-000095050000}"/>
    <cellStyle name="20% - Акцент4 3" xfId="1421" xr:uid="{00000000-0005-0000-0000-000096050000}"/>
    <cellStyle name="20% - Акцент5" xfId="1422" xr:uid="{00000000-0005-0000-0000-000097050000}"/>
    <cellStyle name="20% - Акцент5 2" xfId="1423" xr:uid="{00000000-0005-0000-0000-000098050000}"/>
    <cellStyle name="20% - Акцент5 3" xfId="1424" xr:uid="{00000000-0005-0000-0000-000099050000}"/>
    <cellStyle name="20% - Акцент6" xfId="1425" xr:uid="{00000000-0005-0000-0000-00009A050000}"/>
    <cellStyle name="20% - Акцент6 2" xfId="1426" xr:uid="{00000000-0005-0000-0000-00009B050000}"/>
    <cellStyle name="20% - Акцент6 3" xfId="1427" xr:uid="{00000000-0005-0000-0000-00009C050000}"/>
    <cellStyle name="3 antraštė" xfId="1428" xr:uid="{00000000-0005-0000-0000-00009D050000}"/>
    <cellStyle name="4 antraštė" xfId="1429" xr:uid="{00000000-0005-0000-0000-00009E050000}"/>
    <cellStyle name="40 % - Aksentti1" xfId="1430" xr:uid="{00000000-0005-0000-0000-00009F050000}"/>
    <cellStyle name="40 % - Aksentti1 2" xfId="1431" xr:uid="{00000000-0005-0000-0000-0000A0050000}"/>
    <cellStyle name="40 % - Aksentti1 2 2" xfId="1432" xr:uid="{00000000-0005-0000-0000-0000A1050000}"/>
    <cellStyle name="40 % - Aksentti1 3" xfId="1433" xr:uid="{00000000-0005-0000-0000-0000A2050000}"/>
    <cellStyle name="40 % - Aksentti1_Additional information tables" xfId="1434" xr:uid="{00000000-0005-0000-0000-0000A3050000}"/>
    <cellStyle name="40 % - Aksentti2" xfId="1435" xr:uid="{00000000-0005-0000-0000-0000A4050000}"/>
    <cellStyle name="40 % - Aksentti2 2" xfId="1436" xr:uid="{00000000-0005-0000-0000-0000A5050000}"/>
    <cellStyle name="40 % - Aksentti2 2 2" xfId="1437" xr:uid="{00000000-0005-0000-0000-0000A6050000}"/>
    <cellStyle name="40 % - Aksentti2 3" xfId="1438" xr:uid="{00000000-0005-0000-0000-0000A7050000}"/>
    <cellStyle name="40 % - Aksentti2_Additional information tables" xfId="1439" xr:uid="{00000000-0005-0000-0000-0000A8050000}"/>
    <cellStyle name="40 % - Aksentti3" xfId="1440" xr:uid="{00000000-0005-0000-0000-0000A9050000}"/>
    <cellStyle name="40 % - Aksentti3 2" xfId="1441" xr:uid="{00000000-0005-0000-0000-0000AA050000}"/>
    <cellStyle name="40 % - Aksentti3 2 2" xfId="1442" xr:uid="{00000000-0005-0000-0000-0000AB050000}"/>
    <cellStyle name="40 % - Aksentti3 3" xfId="1443" xr:uid="{00000000-0005-0000-0000-0000AC050000}"/>
    <cellStyle name="40 % - Aksentti3_Additional information tables" xfId="1444" xr:uid="{00000000-0005-0000-0000-0000AD050000}"/>
    <cellStyle name="40 % - Aksentti4" xfId="1445" xr:uid="{00000000-0005-0000-0000-0000AE050000}"/>
    <cellStyle name="40 % - Aksentti4 2" xfId="1446" xr:uid="{00000000-0005-0000-0000-0000AF050000}"/>
    <cellStyle name="40 % - Aksentti4 2 2" xfId="1447" xr:uid="{00000000-0005-0000-0000-0000B0050000}"/>
    <cellStyle name="40 % - Aksentti4 3" xfId="1448" xr:uid="{00000000-0005-0000-0000-0000B1050000}"/>
    <cellStyle name="40 % - Aksentti4_Additional information tables" xfId="1449" xr:uid="{00000000-0005-0000-0000-0000B2050000}"/>
    <cellStyle name="40 % - Aksentti5" xfId="1450" xr:uid="{00000000-0005-0000-0000-0000B3050000}"/>
    <cellStyle name="40 % - Aksentti5 2" xfId="1451" xr:uid="{00000000-0005-0000-0000-0000B4050000}"/>
    <cellStyle name="40 % - Aksentti5 2 2" xfId="1452" xr:uid="{00000000-0005-0000-0000-0000B5050000}"/>
    <cellStyle name="40 % - Aksentti5 3" xfId="1453" xr:uid="{00000000-0005-0000-0000-0000B6050000}"/>
    <cellStyle name="40 % - Aksentti5_Additional information tables" xfId="1454" xr:uid="{00000000-0005-0000-0000-0000B7050000}"/>
    <cellStyle name="40 % - Aksentti6" xfId="1455" xr:uid="{00000000-0005-0000-0000-0000B8050000}"/>
    <cellStyle name="40 % - Aksentti6 2" xfId="1456" xr:uid="{00000000-0005-0000-0000-0000B9050000}"/>
    <cellStyle name="40 % - Aksentti6 2 2" xfId="1457" xr:uid="{00000000-0005-0000-0000-0000BA050000}"/>
    <cellStyle name="40 % - Aksentti6 3" xfId="1458" xr:uid="{00000000-0005-0000-0000-0000BB050000}"/>
    <cellStyle name="40 % - Aksentti6_Additional information tables" xfId="1459" xr:uid="{00000000-0005-0000-0000-0000BC050000}"/>
    <cellStyle name="40 % - Akzent1" xfId="1460" xr:uid="{00000000-0005-0000-0000-0000BD050000}"/>
    <cellStyle name="40 % - Akzent2" xfId="1461" xr:uid="{00000000-0005-0000-0000-0000BE050000}"/>
    <cellStyle name="40 % - Akzent3" xfId="1462" xr:uid="{00000000-0005-0000-0000-0000BF050000}"/>
    <cellStyle name="40 % - Akzent4" xfId="1463" xr:uid="{00000000-0005-0000-0000-0000C0050000}"/>
    <cellStyle name="40 % - Akzent5" xfId="1464" xr:uid="{00000000-0005-0000-0000-0000C1050000}"/>
    <cellStyle name="40 % - Akzent6" xfId="1465" xr:uid="{00000000-0005-0000-0000-0000C2050000}"/>
    <cellStyle name="40 % - Markeringsfarve1" xfId="1466" xr:uid="{00000000-0005-0000-0000-0000C3050000}"/>
    <cellStyle name="40 % - Markeringsfarve1 2" xfId="1467" xr:uid="{00000000-0005-0000-0000-0000C4050000}"/>
    <cellStyle name="40 % - Markeringsfarve2" xfId="1468" xr:uid="{00000000-0005-0000-0000-0000C5050000}"/>
    <cellStyle name="40 % - Markeringsfarve2 2" xfId="1469" xr:uid="{00000000-0005-0000-0000-0000C6050000}"/>
    <cellStyle name="40 % - Markeringsfarve3" xfId="1470" xr:uid="{00000000-0005-0000-0000-0000C7050000}"/>
    <cellStyle name="40 % - Markeringsfarve3 2" xfId="1471" xr:uid="{00000000-0005-0000-0000-0000C8050000}"/>
    <cellStyle name="40 % - Markeringsfarve4" xfId="1472" xr:uid="{00000000-0005-0000-0000-0000C9050000}"/>
    <cellStyle name="40 % - Markeringsfarve4 2" xfId="1473" xr:uid="{00000000-0005-0000-0000-0000CA050000}"/>
    <cellStyle name="40 % - Markeringsfarve5" xfId="1474" xr:uid="{00000000-0005-0000-0000-0000CB050000}"/>
    <cellStyle name="40 % - Markeringsfarve5 2" xfId="1475" xr:uid="{00000000-0005-0000-0000-0000CC050000}"/>
    <cellStyle name="40 % - Markeringsfarve6" xfId="1476" xr:uid="{00000000-0005-0000-0000-0000CD050000}"/>
    <cellStyle name="40 % - Markeringsfarve6 2" xfId="1477" xr:uid="{00000000-0005-0000-0000-0000CE050000}"/>
    <cellStyle name="40 % – uthevingsfarge 1" xfId="1566" builtinId="31" customBuiltin="1"/>
    <cellStyle name="40 % – uthevingsfarge 2" xfId="1569" builtinId="35" customBuiltin="1"/>
    <cellStyle name="40 % – uthevingsfarge 3" xfId="1572" builtinId="39" customBuiltin="1"/>
    <cellStyle name="40 % – uthevingsfarge 4" xfId="1575" builtinId="43" customBuiltin="1"/>
    <cellStyle name="40 % – uthevingsfarge 5" xfId="1578" builtinId="47" customBuiltin="1"/>
    <cellStyle name="40 % – uthevingsfarge 6" xfId="1581" builtinId="51" customBuiltin="1"/>
    <cellStyle name="40 % – Zvýraznění1" xfId="1478" xr:uid="{00000000-0005-0000-0000-0000CF050000}"/>
    <cellStyle name="40 % – Zvýraznění2" xfId="1479" xr:uid="{00000000-0005-0000-0000-0000D0050000}"/>
    <cellStyle name="40 % – Zvýraznění3" xfId="1480" xr:uid="{00000000-0005-0000-0000-0000D1050000}"/>
    <cellStyle name="40 % – Zvýraznění4" xfId="1481" xr:uid="{00000000-0005-0000-0000-0000D2050000}"/>
    <cellStyle name="40 % – Zvýraznění5" xfId="1482" xr:uid="{00000000-0005-0000-0000-0000D3050000}"/>
    <cellStyle name="40 % – Zvýraznění6" xfId="1483" xr:uid="{00000000-0005-0000-0000-0000D4050000}"/>
    <cellStyle name="40 % - Accent1 2" xfId="1484" xr:uid="{00000000-0005-0000-0000-0000D5050000}"/>
    <cellStyle name="40 % - Accent1 2 2" xfId="1485" xr:uid="{00000000-0005-0000-0000-0000D6050000}"/>
    <cellStyle name="40 % - Accent1 2 2 2" xfId="1486" xr:uid="{00000000-0005-0000-0000-0000D7050000}"/>
    <cellStyle name="40 % - Accent1 2 3" xfId="1487" xr:uid="{00000000-0005-0000-0000-0000D8050000}"/>
    <cellStyle name="40 % - Accent1 2_Copie de 130905 DSNA 2011 Dossier de révision initial KG _ Autre Prod vendue" xfId="1488" xr:uid="{00000000-0005-0000-0000-0000D9050000}"/>
    <cellStyle name="40 % - Accent1 3" xfId="1489" xr:uid="{00000000-0005-0000-0000-0000DA050000}"/>
    <cellStyle name="40 % - Accent1 3 2" xfId="1490" xr:uid="{00000000-0005-0000-0000-0000DB050000}"/>
    <cellStyle name="40 % - Accent1 3 3" xfId="1491" xr:uid="{00000000-0005-0000-0000-0000DC050000}"/>
    <cellStyle name="40 % - Accent1 4" xfId="1492" xr:uid="{00000000-0005-0000-0000-0000DD050000}"/>
    <cellStyle name="40 % - Accent1 4 2" xfId="1493" xr:uid="{00000000-0005-0000-0000-0000DE050000}"/>
    <cellStyle name="40 % - Accent1 5" xfId="1494" xr:uid="{00000000-0005-0000-0000-0000DF050000}"/>
    <cellStyle name="40 % - Accent1 5 2" xfId="1495" xr:uid="{00000000-0005-0000-0000-0000E0050000}"/>
    <cellStyle name="40 % - Accent1 6" xfId="1496" xr:uid="{00000000-0005-0000-0000-0000E1050000}"/>
    <cellStyle name="40 % - Accent2 2" xfId="1497" xr:uid="{00000000-0005-0000-0000-0000E2050000}"/>
    <cellStyle name="40 % - Accent2 2 2" xfId="1498" xr:uid="{00000000-0005-0000-0000-0000E3050000}"/>
    <cellStyle name="40 % - Accent2 2 2 2" xfId="1499" xr:uid="{00000000-0005-0000-0000-0000E4050000}"/>
    <cellStyle name="40 % - Accent2 2 3" xfId="1500" xr:uid="{00000000-0005-0000-0000-0000E5050000}"/>
    <cellStyle name="40 % - Accent2 2_Copie de 130905 DSNA 2011 Dossier de révision initial KG _ Autre Prod vendue" xfId="1501" xr:uid="{00000000-0005-0000-0000-0000E6050000}"/>
    <cellStyle name="40 % - Accent2 3" xfId="1502" xr:uid="{00000000-0005-0000-0000-0000E7050000}"/>
    <cellStyle name="40 % - Accent2 3 2" xfId="1503" xr:uid="{00000000-0005-0000-0000-0000E8050000}"/>
    <cellStyle name="40 % - Accent2 3 3" xfId="1504" xr:uid="{00000000-0005-0000-0000-0000E9050000}"/>
    <cellStyle name="40 % - Accent2 4" xfId="1505" xr:uid="{00000000-0005-0000-0000-0000EA050000}"/>
    <cellStyle name="40 % - Accent2 5" xfId="1506" xr:uid="{00000000-0005-0000-0000-0000EB050000}"/>
    <cellStyle name="40 % - Accent2 5 2" xfId="1507" xr:uid="{00000000-0005-0000-0000-0000EC050000}"/>
    <cellStyle name="40 % - Accent2 6" xfId="1508" xr:uid="{00000000-0005-0000-0000-0000ED050000}"/>
    <cellStyle name="40 % - Accent3 2" xfId="1509" xr:uid="{00000000-0005-0000-0000-0000EE050000}"/>
    <cellStyle name="40 % - Accent3 2 2" xfId="1510" xr:uid="{00000000-0005-0000-0000-0000EF050000}"/>
    <cellStyle name="40 % - Accent3 2 2 2" xfId="1511" xr:uid="{00000000-0005-0000-0000-0000F0050000}"/>
    <cellStyle name="40 % - Accent3 2 3" xfId="1512" xr:uid="{00000000-0005-0000-0000-0000F1050000}"/>
    <cellStyle name="40 % - Accent3 2_Copie de 130905 DSNA 2011 Dossier de révision initial KG _ Autre Prod vendue" xfId="1513" xr:uid="{00000000-0005-0000-0000-0000F2050000}"/>
    <cellStyle name="40 % - Accent3 3" xfId="1514" xr:uid="{00000000-0005-0000-0000-0000F3050000}"/>
    <cellStyle name="40 % - Accent3 3 2" xfId="1515" xr:uid="{00000000-0005-0000-0000-0000F4050000}"/>
    <cellStyle name="40 % - Accent3 3 3" xfId="1516" xr:uid="{00000000-0005-0000-0000-0000F5050000}"/>
    <cellStyle name="40 % - Accent3 4" xfId="1517" xr:uid="{00000000-0005-0000-0000-0000F6050000}"/>
    <cellStyle name="40 % - Accent3 4 2" xfId="1518" xr:uid="{00000000-0005-0000-0000-0000F7050000}"/>
    <cellStyle name="40 % - Accent3 5" xfId="1519" xr:uid="{00000000-0005-0000-0000-0000F8050000}"/>
    <cellStyle name="40 % - Accent3 5 2" xfId="1520" xr:uid="{00000000-0005-0000-0000-0000F9050000}"/>
    <cellStyle name="40 % - Accent3 6" xfId="1521" xr:uid="{00000000-0005-0000-0000-0000FA050000}"/>
    <cellStyle name="40 % - Accent4 2" xfId="1522" xr:uid="{00000000-0005-0000-0000-0000FB050000}"/>
    <cellStyle name="40 % - Accent4 2 2" xfId="1523" xr:uid="{00000000-0005-0000-0000-0000FC050000}"/>
    <cellStyle name="40 % - Accent4 2 2 2" xfId="1524" xr:uid="{00000000-0005-0000-0000-0000FD050000}"/>
    <cellStyle name="40 % - Accent4 2 3" xfId="1525" xr:uid="{00000000-0005-0000-0000-0000FE050000}"/>
    <cellStyle name="40 % - Accent4 2_Copie de 130905 DSNA 2011 Dossier de révision initial KG _ Autre Prod vendue" xfId="1526" xr:uid="{00000000-0005-0000-0000-0000FF050000}"/>
    <cellStyle name="40 % - Accent4 3" xfId="1527" xr:uid="{00000000-0005-0000-0000-000000060000}"/>
    <cellStyle name="40 % - Accent4 3 2" xfId="1528" xr:uid="{00000000-0005-0000-0000-000001060000}"/>
    <cellStyle name="40 % - Accent4 3 3" xfId="1529" xr:uid="{00000000-0005-0000-0000-000002060000}"/>
    <cellStyle name="40 % - Accent4 4" xfId="1530" xr:uid="{00000000-0005-0000-0000-000003060000}"/>
    <cellStyle name="40 % - Accent4 4 2" xfId="1531" xr:uid="{00000000-0005-0000-0000-000004060000}"/>
    <cellStyle name="40 % - Accent4 5" xfId="1532" xr:uid="{00000000-0005-0000-0000-000005060000}"/>
    <cellStyle name="40 % - Accent4 5 2" xfId="1533" xr:uid="{00000000-0005-0000-0000-000006060000}"/>
    <cellStyle name="40 % - Accent4 6" xfId="1534" xr:uid="{00000000-0005-0000-0000-000007060000}"/>
    <cellStyle name="40 % - Accent5 2" xfId="1535" xr:uid="{00000000-0005-0000-0000-000008060000}"/>
    <cellStyle name="40 % - Accent5 2 2" xfId="1536" xr:uid="{00000000-0005-0000-0000-000009060000}"/>
    <cellStyle name="40 % - Accent5 2 2 2" xfId="1537" xr:uid="{00000000-0005-0000-0000-00000A060000}"/>
    <cellStyle name="40 % - Accent5 2 3" xfId="1538" xr:uid="{00000000-0005-0000-0000-00000B060000}"/>
    <cellStyle name="40 % - Accent5 2_Copie de 130905 DSNA 2011 Dossier de révision initial KG _ Autre Prod vendue" xfId="1539" xr:uid="{00000000-0005-0000-0000-00000C060000}"/>
    <cellStyle name="40 % - Accent5 3" xfId="1540" xr:uid="{00000000-0005-0000-0000-00000D060000}"/>
    <cellStyle name="40 % - Accent5 3 2" xfId="1541" xr:uid="{00000000-0005-0000-0000-00000E060000}"/>
    <cellStyle name="40 % - Accent5 3 3" xfId="1542" xr:uid="{00000000-0005-0000-0000-00000F060000}"/>
    <cellStyle name="40 % - Accent5 4" xfId="1543" xr:uid="{00000000-0005-0000-0000-000010060000}"/>
    <cellStyle name="40 % - Accent5 5" xfId="1544" xr:uid="{00000000-0005-0000-0000-000011060000}"/>
    <cellStyle name="40 % - Accent5 5 2" xfId="1545" xr:uid="{00000000-0005-0000-0000-000012060000}"/>
    <cellStyle name="40 % - Accent5 6" xfId="1546" xr:uid="{00000000-0005-0000-0000-000013060000}"/>
    <cellStyle name="40 % - Accent6 2" xfId="1547" xr:uid="{00000000-0005-0000-0000-000014060000}"/>
    <cellStyle name="40 % - Accent6 2 2" xfId="1548" xr:uid="{00000000-0005-0000-0000-000015060000}"/>
    <cellStyle name="40 % - Accent6 2 2 2" xfId="1549" xr:uid="{00000000-0005-0000-0000-000016060000}"/>
    <cellStyle name="40 % - Accent6 2 3" xfId="1550" xr:uid="{00000000-0005-0000-0000-000017060000}"/>
    <cellStyle name="40 % - Accent6 2_Copie de 130905 DSNA 2011 Dossier de révision initial KG _ Autre Prod vendue" xfId="1551" xr:uid="{00000000-0005-0000-0000-000018060000}"/>
    <cellStyle name="40 % - Accent6 3" xfId="1552" xr:uid="{00000000-0005-0000-0000-000019060000}"/>
    <cellStyle name="40 % - Accent6 3 2" xfId="1553" xr:uid="{00000000-0005-0000-0000-00001A060000}"/>
    <cellStyle name="40 % - Accent6 3 3" xfId="1554" xr:uid="{00000000-0005-0000-0000-00001B060000}"/>
    <cellStyle name="40 % - Accent6 4" xfId="1555" xr:uid="{00000000-0005-0000-0000-00001C060000}"/>
    <cellStyle name="40 % - Accent6 4 2" xfId="1556" xr:uid="{00000000-0005-0000-0000-00001D060000}"/>
    <cellStyle name="40 % - Accent6 5" xfId="1557" xr:uid="{00000000-0005-0000-0000-00001E060000}"/>
    <cellStyle name="40 % - Accent6 5 2" xfId="1558" xr:uid="{00000000-0005-0000-0000-00001F060000}"/>
    <cellStyle name="40 % - Accent6 6" xfId="1559" xr:uid="{00000000-0005-0000-0000-000020060000}"/>
    <cellStyle name="40% - 1. jelölőszín 2" xfId="1560" xr:uid="{00000000-0005-0000-0000-000021060000}"/>
    <cellStyle name="40% - 2. jelölőszín 2" xfId="1561" xr:uid="{00000000-0005-0000-0000-000022060000}"/>
    <cellStyle name="40% - 3. jelölőszín 2" xfId="1562" xr:uid="{00000000-0005-0000-0000-000023060000}"/>
    <cellStyle name="40% - 4. jelölőszín 2" xfId="1563" xr:uid="{00000000-0005-0000-0000-000024060000}"/>
    <cellStyle name="40% - 5. jelölőszín 2" xfId="1564" xr:uid="{00000000-0005-0000-0000-000025060000}"/>
    <cellStyle name="40% - 6. jelölőszín 2" xfId="1565" xr:uid="{00000000-0005-0000-0000-000026060000}"/>
    <cellStyle name="40% - Accent1 2" xfId="1567" xr:uid="{00000000-0005-0000-0000-000028060000}"/>
    <cellStyle name="40% - Accent1 2 2" xfId="1568" xr:uid="{00000000-0005-0000-0000-000029060000}"/>
    <cellStyle name="40% - Accent2 2" xfId="1570" xr:uid="{00000000-0005-0000-0000-00002B060000}"/>
    <cellStyle name="40% - Accent2 2 2" xfId="1571" xr:uid="{00000000-0005-0000-0000-00002C060000}"/>
    <cellStyle name="40% - Accent3 2" xfId="1573" xr:uid="{00000000-0005-0000-0000-00002E060000}"/>
    <cellStyle name="40% - Accent3 2 2" xfId="1574" xr:uid="{00000000-0005-0000-0000-00002F060000}"/>
    <cellStyle name="40% - Accent4 2" xfId="1576" xr:uid="{00000000-0005-0000-0000-000031060000}"/>
    <cellStyle name="40% - Accent4 2 2" xfId="1577" xr:uid="{00000000-0005-0000-0000-000032060000}"/>
    <cellStyle name="40% - Accent5 2" xfId="1579" xr:uid="{00000000-0005-0000-0000-000034060000}"/>
    <cellStyle name="40% - Accent5 2 2" xfId="1580" xr:uid="{00000000-0005-0000-0000-000035060000}"/>
    <cellStyle name="40% - Accent6 2" xfId="1582" xr:uid="{00000000-0005-0000-0000-000037060000}"/>
    <cellStyle name="40% - Accent6 2 2" xfId="1583" xr:uid="{00000000-0005-0000-0000-000038060000}"/>
    <cellStyle name="40% - akcent 1" xfId="1584" xr:uid="{00000000-0005-0000-0000-000039060000}"/>
    <cellStyle name="40% - akcent 1 2" xfId="1585" xr:uid="{00000000-0005-0000-0000-00003A060000}"/>
    <cellStyle name="40% - akcent 2" xfId="1586" xr:uid="{00000000-0005-0000-0000-00003B060000}"/>
    <cellStyle name="40% - akcent 2 2" xfId="1587" xr:uid="{00000000-0005-0000-0000-00003C060000}"/>
    <cellStyle name="40% - akcent 3" xfId="1588" xr:uid="{00000000-0005-0000-0000-00003D060000}"/>
    <cellStyle name="40% - akcent 3 2" xfId="1589" xr:uid="{00000000-0005-0000-0000-00003E060000}"/>
    <cellStyle name="40% - akcent 4" xfId="1590" xr:uid="{00000000-0005-0000-0000-00003F060000}"/>
    <cellStyle name="40% - akcent 4 2" xfId="1591" xr:uid="{00000000-0005-0000-0000-000040060000}"/>
    <cellStyle name="40% - akcent 5" xfId="1592" xr:uid="{00000000-0005-0000-0000-000041060000}"/>
    <cellStyle name="40% - akcent 5 2" xfId="1593" xr:uid="{00000000-0005-0000-0000-000042060000}"/>
    <cellStyle name="40% - akcent 6" xfId="1594" xr:uid="{00000000-0005-0000-0000-000043060000}"/>
    <cellStyle name="40% - akcent 6 2" xfId="1595" xr:uid="{00000000-0005-0000-0000-000044060000}"/>
    <cellStyle name="40% - Akzent1" xfId="1596" xr:uid="{00000000-0005-0000-0000-000045060000}"/>
    <cellStyle name="40% - Akzent1 2" xfId="1597" xr:uid="{00000000-0005-0000-0000-000046060000}"/>
    <cellStyle name="40% - Akzent1 3" xfId="1598" xr:uid="{00000000-0005-0000-0000-000047060000}"/>
    <cellStyle name="40% - Akzent2" xfId="1599" xr:uid="{00000000-0005-0000-0000-000048060000}"/>
    <cellStyle name="40% - Akzent2 2" xfId="1600" xr:uid="{00000000-0005-0000-0000-000049060000}"/>
    <cellStyle name="40% - Akzent2 3" xfId="1601" xr:uid="{00000000-0005-0000-0000-00004A060000}"/>
    <cellStyle name="40% - Akzent3" xfId="1602" xr:uid="{00000000-0005-0000-0000-00004B060000}"/>
    <cellStyle name="40% - Akzent3 2" xfId="1603" xr:uid="{00000000-0005-0000-0000-00004C060000}"/>
    <cellStyle name="40% - Akzent3 3" xfId="1604" xr:uid="{00000000-0005-0000-0000-00004D060000}"/>
    <cellStyle name="40% - Akzent4" xfId="1605" xr:uid="{00000000-0005-0000-0000-00004E060000}"/>
    <cellStyle name="40% - Akzent4 2" xfId="1606" xr:uid="{00000000-0005-0000-0000-00004F060000}"/>
    <cellStyle name="40% - Akzent4 3" xfId="1607" xr:uid="{00000000-0005-0000-0000-000050060000}"/>
    <cellStyle name="40% - Akzent5" xfId="1608" xr:uid="{00000000-0005-0000-0000-000051060000}"/>
    <cellStyle name="40% - Akzent5 2" xfId="1609" xr:uid="{00000000-0005-0000-0000-000052060000}"/>
    <cellStyle name="40% - Akzent5 3" xfId="1610" xr:uid="{00000000-0005-0000-0000-000053060000}"/>
    <cellStyle name="40% - Akzent6" xfId="1611" xr:uid="{00000000-0005-0000-0000-000054060000}"/>
    <cellStyle name="40% - Akzent6 2" xfId="1612" xr:uid="{00000000-0005-0000-0000-000055060000}"/>
    <cellStyle name="40% - Akzent6 3" xfId="1613" xr:uid="{00000000-0005-0000-0000-000056060000}"/>
    <cellStyle name="40% - Colore 1 2" xfId="1614" xr:uid="{00000000-0005-0000-0000-000057060000}"/>
    <cellStyle name="40% - Colore 1 3" xfId="1615" xr:uid="{00000000-0005-0000-0000-000058060000}"/>
    <cellStyle name="40% - Colore 2 2" xfId="1616" xr:uid="{00000000-0005-0000-0000-000059060000}"/>
    <cellStyle name="40% - Colore 2 3" xfId="1617" xr:uid="{00000000-0005-0000-0000-00005A060000}"/>
    <cellStyle name="40% - Colore 3 2" xfId="1618" xr:uid="{00000000-0005-0000-0000-00005B060000}"/>
    <cellStyle name="40% - Colore 3 3" xfId="1619" xr:uid="{00000000-0005-0000-0000-00005C060000}"/>
    <cellStyle name="40% - Colore 4 2" xfId="1620" xr:uid="{00000000-0005-0000-0000-00005D060000}"/>
    <cellStyle name="40% - Colore 4 3" xfId="1621" xr:uid="{00000000-0005-0000-0000-00005E060000}"/>
    <cellStyle name="40% - Colore 5 2" xfId="1622" xr:uid="{00000000-0005-0000-0000-00005F060000}"/>
    <cellStyle name="40% - Colore 5 3" xfId="1623" xr:uid="{00000000-0005-0000-0000-000060060000}"/>
    <cellStyle name="40% - Colore 6 2" xfId="1624" xr:uid="{00000000-0005-0000-0000-000061060000}"/>
    <cellStyle name="40% - Colore 6 3" xfId="1625" xr:uid="{00000000-0005-0000-0000-000062060000}"/>
    <cellStyle name="40% - Dekorfärg1" xfId="1626" xr:uid="{00000000-0005-0000-0000-000063060000}"/>
    <cellStyle name="40% - Dekorfärg1 2" xfId="1627" xr:uid="{00000000-0005-0000-0000-000064060000}"/>
    <cellStyle name="40% - Dekorfärg2" xfId="1628" xr:uid="{00000000-0005-0000-0000-000065060000}"/>
    <cellStyle name="40% - Dekorfärg2 2" xfId="1629" xr:uid="{00000000-0005-0000-0000-000066060000}"/>
    <cellStyle name="40% - Dekorfärg3" xfId="1630" xr:uid="{00000000-0005-0000-0000-000067060000}"/>
    <cellStyle name="40% - Dekorfärg3 2" xfId="1631" xr:uid="{00000000-0005-0000-0000-000068060000}"/>
    <cellStyle name="40% - Dekorfärg4" xfId="1632" xr:uid="{00000000-0005-0000-0000-000069060000}"/>
    <cellStyle name="40% - Dekorfärg4 2" xfId="1633" xr:uid="{00000000-0005-0000-0000-00006A060000}"/>
    <cellStyle name="40% - Dekorfärg5" xfId="1634" xr:uid="{00000000-0005-0000-0000-00006B060000}"/>
    <cellStyle name="40% - Dekorfärg5 2" xfId="1635" xr:uid="{00000000-0005-0000-0000-00006C060000}"/>
    <cellStyle name="40% - Dekorfärg6" xfId="1636" xr:uid="{00000000-0005-0000-0000-00006D060000}"/>
    <cellStyle name="40% - Dekorfärg6 2" xfId="1637" xr:uid="{00000000-0005-0000-0000-00006E060000}"/>
    <cellStyle name="40% - Énfasis1" xfId="1638" xr:uid="{00000000-0005-0000-0000-00006F060000}"/>
    <cellStyle name="40% - Énfasis1 2" xfId="1639" xr:uid="{00000000-0005-0000-0000-000070060000}"/>
    <cellStyle name="40% - Énfasis2" xfId="1640" xr:uid="{00000000-0005-0000-0000-000071060000}"/>
    <cellStyle name="40% - Énfasis2 2" xfId="1641" xr:uid="{00000000-0005-0000-0000-000072060000}"/>
    <cellStyle name="40% - Énfasis3" xfId="1642" xr:uid="{00000000-0005-0000-0000-000073060000}"/>
    <cellStyle name="40% - Énfasis3 2" xfId="1643" xr:uid="{00000000-0005-0000-0000-000074060000}"/>
    <cellStyle name="40% - Énfasis4" xfId="1644" xr:uid="{00000000-0005-0000-0000-000075060000}"/>
    <cellStyle name="40% - Énfasis4 2" xfId="1645" xr:uid="{00000000-0005-0000-0000-000076060000}"/>
    <cellStyle name="40% - Énfasis5" xfId="1646" xr:uid="{00000000-0005-0000-0000-000077060000}"/>
    <cellStyle name="40% - Énfasis5 2" xfId="1647" xr:uid="{00000000-0005-0000-0000-000078060000}"/>
    <cellStyle name="40% - Énfasis6" xfId="1648" xr:uid="{00000000-0005-0000-0000-000079060000}"/>
    <cellStyle name="40% - Énfasis6 2" xfId="1649" xr:uid="{00000000-0005-0000-0000-00007A060000}"/>
    <cellStyle name="40% – paryškinimas 1" xfId="1650" xr:uid="{00000000-0005-0000-0000-00007B060000}"/>
    <cellStyle name="40% – paryškinimas 1 2" xfId="1651" xr:uid="{00000000-0005-0000-0000-00007C060000}"/>
    <cellStyle name="40% – paryškinimas 2" xfId="1652" xr:uid="{00000000-0005-0000-0000-00007D060000}"/>
    <cellStyle name="40% – paryškinimas 2 2" xfId="1653" xr:uid="{00000000-0005-0000-0000-00007E060000}"/>
    <cellStyle name="40% – paryškinimas 3" xfId="1654" xr:uid="{00000000-0005-0000-0000-00007F060000}"/>
    <cellStyle name="40% – paryškinimas 3 2" xfId="1655" xr:uid="{00000000-0005-0000-0000-000080060000}"/>
    <cellStyle name="40% – paryškinimas 4" xfId="1656" xr:uid="{00000000-0005-0000-0000-000081060000}"/>
    <cellStyle name="40% – paryškinimas 4 2" xfId="1657" xr:uid="{00000000-0005-0000-0000-000082060000}"/>
    <cellStyle name="40% – paryškinimas 5" xfId="1658" xr:uid="{00000000-0005-0000-0000-000083060000}"/>
    <cellStyle name="40% – paryškinimas 5 2" xfId="1659" xr:uid="{00000000-0005-0000-0000-000084060000}"/>
    <cellStyle name="40% – paryškinimas 6" xfId="1660" xr:uid="{00000000-0005-0000-0000-000085060000}"/>
    <cellStyle name="40% – paryškinimas 6 2" xfId="1661" xr:uid="{00000000-0005-0000-0000-000086060000}"/>
    <cellStyle name="40% – rõhk1" xfId="1662" xr:uid="{00000000-0005-0000-0000-000087060000}"/>
    <cellStyle name="40% – rõhk1 2" xfId="1663" xr:uid="{00000000-0005-0000-0000-000088060000}"/>
    <cellStyle name="40% – rõhk1 3" xfId="1664" xr:uid="{00000000-0005-0000-0000-000089060000}"/>
    <cellStyle name="40% – rõhk2" xfId="1665" xr:uid="{00000000-0005-0000-0000-00008A060000}"/>
    <cellStyle name="40% – rõhk2 2" xfId="1666" xr:uid="{00000000-0005-0000-0000-00008B060000}"/>
    <cellStyle name="40% – rõhk2 3" xfId="1667" xr:uid="{00000000-0005-0000-0000-00008C060000}"/>
    <cellStyle name="40% – rõhk3" xfId="1668" xr:uid="{00000000-0005-0000-0000-00008D060000}"/>
    <cellStyle name="40% – rõhk3 2" xfId="1669" xr:uid="{00000000-0005-0000-0000-00008E060000}"/>
    <cellStyle name="40% – rõhk3 3" xfId="1670" xr:uid="{00000000-0005-0000-0000-00008F060000}"/>
    <cellStyle name="40% – rõhk4" xfId="1671" xr:uid="{00000000-0005-0000-0000-000090060000}"/>
    <cellStyle name="40% – rõhk4 2" xfId="1672" xr:uid="{00000000-0005-0000-0000-000091060000}"/>
    <cellStyle name="40% – rõhk4 3" xfId="1673" xr:uid="{00000000-0005-0000-0000-000092060000}"/>
    <cellStyle name="40% – rõhk5" xfId="1674" xr:uid="{00000000-0005-0000-0000-000093060000}"/>
    <cellStyle name="40% – rõhk5 2" xfId="1675" xr:uid="{00000000-0005-0000-0000-000094060000}"/>
    <cellStyle name="40% – rõhk5 3" xfId="1676" xr:uid="{00000000-0005-0000-0000-000095060000}"/>
    <cellStyle name="40% – rõhk6" xfId="1677" xr:uid="{00000000-0005-0000-0000-000096060000}"/>
    <cellStyle name="40% – rõhk6 2" xfId="1678" xr:uid="{00000000-0005-0000-0000-000097060000}"/>
    <cellStyle name="40% – rõhk6 3" xfId="1679" xr:uid="{00000000-0005-0000-0000-000098060000}"/>
    <cellStyle name="40% - Акцент1" xfId="1680" xr:uid="{00000000-0005-0000-0000-000099060000}"/>
    <cellStyle name="40% - Акцент1 2" xfId="1681" xr:uid="{00000000-0005-0000-0000-00009A060000}"/>
    <cellStyle name="40% - Акцент1 3" xfId="1682" xr:uid="{00000000-0005-0000-0000-00009B060000}"/>
    <cellStyle name="40% - Акцент2" xfId="1683" xr:uid="{00000000-0005-0000-0000-00009C060000}"/>
    <cellStyle name="40% - Акцент2 2" xfId="1684" xr:uid="{00000000-0005-0000-0000-00009D060000}"/>
    <cellStyle name="40% - Акцент2 3" xfId="1685" xr:uid="{00000000-0005-0000-0000-00009E060000}"/>
    <cellStyle name="40% - Акцент3" xfId="1686" xr:uid="{00000000-0005-0000-0000-00009F060000}"/>
    <cellStyle name="40% - Акцент3 2" xfId="1687" xr:uid="{00000000-0005-0000-0000-0000A0060000}"/>
    <cellStyle name="40% - Акцент3 3" xfId="1688" xr:uid="{00000000-0005-0000-0000-0000A1060000}"/>
    <cellStyle name="40% - Акцент4" xfId="1689" xr:uid="{00000000-0005-0000-0000-0000A2060000}"/>
    <cellStyle name="40% - Акцент4 2" xfId="1690" xr:uid="{00000000-0005-0000-0000-0000A3060000}"/>
    <cellStyle name="40% - Акцент4 3" xfId="1691" xr:uid="{00000000-0005-0000-0000-0000A4060000}"/>
    <cellStyle name="40% - Акцент5" xfId="1692" xr:uid="{00000000-0005-0000-0000-0000A5060000}"/>
    <cellStyle name="40% - Акцент5 2" xfId="1693" xr:uid="{00000000-0005-0000-0000-0000A6060000}"/>
    <cellStyle name="40% - Акцент5 3" xfId="1694" xr:uid="{00000000-0005-0000-0000-0000A7060000}"/>
    <cellStyle name="40% - Акцент6" xfId="1695" xr:uid="{00000000-0005-0000-0000-0000A8060000}"/>
    <cellStyle name="40% - Акцент6 2" xfId="1696" xr:uid="{00000000-0005-0000-0000-0000A9060000}"/>
    <cellStyle name="40% - Акцент6 3" xfId="1697" xr:uid="{00000000-0005-0000-0000-0000AA060000}"/>
    <cellStyle name="60 % - Aksentti1" xfId="1698" xr:uid="{00000000-0005-0000-0000-0000AB060000}"/>
    <cellStyle name="60 % - Aksentti2" xfId="1699" xr:uid="{00000000-0005-0000-0000-0000AC060000}"/>
    <cellStyle name="60 % - Aksentti3" xfId="1700" xr:uid="{00000000-0005-0000-0000-0000AD060000}"/>
    <cellStyle name="60 % - Aksentti4" xfId="1701" xr:uid="{00000000-0005-0000-0000-0000AE060000}"/>
    <cellStyle name="60 % - Aksentti5" xfId="1702" xr:uid="{00000000-0005-0000-0000-0000AF060000}"/>
    <cellStyle name="60 % - Aksentti6" xfId="1703" xr:uid="{00000000-0005-0000-0000-0000B0060000}"/>
    <cellStyle name="60 % - Akzent1" xfId="1704" xr:uid="{00000000-0005-0000-0000-0000B1060000}"/>
    <cellStyle name="60 % - Akzent2" xfId="1705" xr:uid="{00000000-0005-0000-0000-0000B2060000}"/>
    <cellStyle name="60 % - Akzent3" xfId="1706" xr:uid="{00000000-0005-0000-0000-0000B3060000}"/>
    <cellStyle name="60 % - Akzent4" xfId="1707" xr:uid="{00000000-0005-0000-0000-0000B4060000}"/>
    <cellStyle name="60 % - Akzent5" xfId="1708" xr:uid="{00000000-0005-0000-0000-0000B5060000}"/>
    <cellStyle name="60 % - Akzent6" xfId="1709" xr:uid="{00000000-0005-0000-0000-0000B6060000}"/>
    <cellStyle name="60 % - Markeringsfarve1" xfId="1710" xr:uid="{00000000-0005-0000-0000-0000B7060000}"/>
    <cellStyle name="60 % - Markeringsfarve2" xfId="1711" xr:uid="{00000000-0005-0000-0000-0000B8060000}"/>
    <cellStyle name="60 % - Markeringsfarve3" xfId="1712" xr:uid="{00000000-0005-0000-0000-0000B9060000}"/>
    <cellStyle name="60 % - Markeringsfarve4" xfId="1713" xr:uid="{00000000-0005-0000-0000-0000BA060000}"/>
    <cellStyle name="60 % - Markeringsfarve5" xfId="1714" xr:uid="{00000000-0005-0000-0000-0000BB060000}"/>
    <cellStyle name="60 % - Markeringsfarve6" xfId="1715" xr:uid="{00000000-0005-0000-0000-0000BC060000}"/>
    <cellStyle name="60 % – uthevingsfarge 1" xfId="1768" builtinId="32" customBuiltin="1"/>
    <cellStyle name="60 % – uthevingsfarge 2" xfId="1773" builtinId="36" customBuiltin="1"/>
    <cellStyle name="60 % – uthevingsfarge 3" xfId="1775" builtinId="40" customBuiltin="1"/>
    <cellStyle name="60 % – uthevingsfarge 4" xfId="1777" builtinId="44" customBuiltin="1"/>
    <cellStyle name="60 % – uthevingsfarge 5" xfId="1779" builtinId="48" customBuiltin="1"/>
    <cellStyle name="60 % – uthevingsfarge 6" xfId="1781" builtinId="52" customBuiltin="1"/>
    <cellStyle name="60 % – Zvýraznění1" xfId="1716" xr:uid="{00000000-0005-0000-0000-0000BD060000}"/>
    <cellStyle name="60 % – Zvýraznění2" xfId="1717" xr:uid="{00000000-0005-0000-0000-0000BE060000}"/>
    <cellStyle name="60 % – Zvýraznění3" xfId="1718" xr:uid="{00000000-0005-0000-0000-0000BF060000}"/>
    <cellStyle name="60 % – Zvýraznění4" xfId="1719" xr:uid="{00000000-0005-0000-0000-0000C0060000}"/>
    <cellStyle name="60 % – Zvýraznění5" xfId="1720" xr:uid="{00000000-0005-0000-0000-0000C1060000}"/>
    <cellStyle name="60 % – Zvýraznění6" xfId="1721" xr:uid="{00000000-0005-0000-0000-0000C2060000}"/>
    <cellStyle name="60 % - Accent1 2" xfId="1722" xr:uid="{00000000-0005-0000-0000-0000C3060000}"/>
    <cellStyle name="60 % - Accent1 2 2" xfId="1723" xr:uid="{00000000-0005-0000-0000-0000C4060000}"/>
    <cellStyle name="60 % - Accent1 3" xfId="1724" xr:uid="{00000000-0005-0000-0000-0000C5060000}"/>
    <cellStyle name="60 % - Accent1 3 2" xfId="1725" xr:uid="{00000000-0005-0000-0000-0000C6060000}"/>
    <cellStyle name="60 % - Accent1 4" xfId="1726" xr:uid="{00000000-0005-0000-0000-0000C7060000}"/>
    <cellStyle name="60 % - Accent1 4 2" xfId="1727" xr:uid="{00000000-0005-0000-0000-0000C8060000}"/>
    <cellStyle name="60 % - Accent1 5" xfId="1728" xr:uid="{00000000-0005-0000-0000-0000C9060000}"/>
    <cellStyle name="60 % - Accent2 2" xfId="1729" xr:uid="{00000000-0005-0000-0000-0000CA060000}"/>
    <cellStyle name="60 % - Accent2 2 2" xfId="1730" xr:uid="{00000000-0005-0000-0000-0000CB060000}"/>
    <cellStyle name="60 % - Accent2 3" xfId="1731" xr:uid="{00000000-0005-0000-0000-0000CC060000}"/>
    <cellStyle name="60 % - Accent2 3 2" xfId="1732" xr:uid="{00000000-0005-0000-0000-0000CD060000}"/>
    <cellStyle name="60 % - Accent2 4" xfId="1733" xr:uid="{00000000-0005-0000-0000-0000CE060000}"/>
    <cellStyle name="60 % - Accent2 5" xfId="1734" xr:uid="{00000000-0005-0000-0000-0000CF060000}"/>
    <cellStyle name="60 % - Accent3 2" xfId="1735" xr:uid="{00000000-0005-0000-0000-0000D0060000}"/>
    <cellStyle name="60 % - Accent3 2 2" xfId="1736" xr:uid="{00000000-0005-0000-0000-0000D1060000}"/>
    <cellStyle name="60 % - Accent3 3" xfId="1737" xr:uid="{00000000-0005-0000-0000-0000D2060000}"/>
    <cellStyle name="60 % - Accent3 3 2" xfId="1738" xr:uid="{00000000-0005-0000-0000-0000D3060000}"/>
    <cellStyle name="60 % - Accent3 4" xfId="1739" xr:uid="{00000000-0005-0000-0000-0000D4060000}"/>
    <cellStyle name="60 % - Accent3 4 2" xfId="1740" xr:uid="{00000000-0005-0000-0000-0000D5060000}"/>
    <cellStyle name="60 % - Accent3 5" xfId="1741" xr:uid="{00000000-0005-0000-0000-0000D6060000}"/>
    <cellStyle name="60 % - Accent4 2" xfId="1742" xr:uid="{00000000-0005-0000-0000-0000D7060000}"/>
    <cellStyle name="60 % - Accent4 2 2" xfId="1743" xr:uid="{00000000-0005-0000-0000-0000D8060000}"/>
    <cellStyle name="60 % - Accent4 3" xfId="1744" xr:uid="{00000000-0005-0000-0000-0000D9060000}"/>
    <cellStyle name="60 % - Accent4 3 2" xfId="1745" xr:uid="{00000000-0005-0000-0000-0000DA060000}"/>
    <cellStyle name="60 % - Accent4 4" xfId="1746" xr:uid="{00000000-0005-0000-0000-0000DB060000}"/>
    <cellStyle name="60 % - Accent4 4 2" xfId="1747" xr:uid="{00000000-0005-0000-0000-0000DC060000}"/>
    <cellStyle name="60 % - Accent4 5" xfId="1748" xr:uid="{00000000-0005-0000-0000-0000DD060000}"/>
    <cellStyle name="60 % - Accent5 2" xfId="1749" xr:uid="{00000000-0005-0000-0000-0000DE060000}"/>
    <cellStyle name="60 % - Accent5 2 2" xfId="1750" xr:uid="{00000000-0005-0000-0000-0000DF060000}"/>
    <cellStyle name="60 % - Accent5 3" xfId="1751" xr:uid="{00000000-0005-0000-0000-0000E0060000}"/>
    <cellStyle name="60 % - Accent5 3 2" xfId="1752" xr:uid="{00000000-0005-0000-0000-0000E1060000}"/>
    <cellStyle name="60 % - Accent5 4" xfId="1753" xr:uid="{00000000-0005-0000-0000-0000E2060000}"/>
    <cellStyle name="60 % - Accent5 5" xfId="1754" xr:uid="{00000000-0005-0000-0000-0000E3060000}"/>
    <cellStyle name="60 % - Accent6 2" xfId="1755" xr:uid="{00000000-0005-0000-0000-0000E4060000}"/>
    <cellStyle name="60 % - Accent6 2 2" xfId="1756" xr:uid="{00000000-0005-0000-0000-0000E5060000}"/>
    <cellStyle name="60 % - Accent6 3" xfId="1757" xr:uid="{00000000-0005-0000-0000-0000E6060000}"/>
    <cellStyle name="60 % - Accent6 3 2" xfId="1758" xr:uid="{00000000-0005-0000-0000-0000E7060000}"/>
    <cellStyle name="60 % - Accent6 4" xfId="1759" xr:uid="{00000000-0005-0000-0000-0000E8060000}"/>
    <cellStyle name="60 % - Accent6 4 2" xfId="1760" xr:uid="{00000000-0005-0000-0000-0000E9060000}"/>
    <cellStyle name="60 % - Accent6 5" xfId="1761" xr:uid="{00000000-0005-0000-0000-0000EA060000}"/>
    <cellStyle name="60% - 1. jelölőszín 2" xfId="1762" xr:uid="{00000000-0005-0000-0000-0000EB060000}"/>
    <cellStyle name="60% - 2. jelölőszín 2" xfId="1763" xr:uid="{00000000-0005-0000-0000-0000EC060000}"/>
    <cellStyle name="60% - 3. jelölőszín 2" xfId="1764" xr:uid="{00000000-0005-0000-0000-0000ED060000}"/>
    <cellStyle name="60% - 4. jelölőszín 2" xfId="1765" xr:uid="{00000000-0005-0000-0000-0000EE060000}"/>
    <cellStyle name="60% - 5. jelölőszín 2" xfId="1766" xr:uid="{00000000-0005-0000-0000-0000EF060000}"/>
    <cellStyle name="60% - 6. jelölőszín 2" xfId="1767" xr:uid="{00000000-0005-0000-0000-0000F0060000}"/>
    <cellStyle name="60% - Accent1 2" xfId="1769" xr:uid="{00000000-0005-0000-0000-0000F2060000}"/>
    <cellStyle name="60% - Accent1 3" xfId="1770" xr:uid="{00000000-0005-0000-0000-0000F3060000}"/>
    <cellStyle name="60% - Accent1 3 2" xfId="1771" xr:uid="{00000000-0005-0000-0000-0000F4060000}"/>
    <cellStyle name="60% - Accent1 3 3" xfId="1772" xr:uid="{00000000-0005-0000-0000-0000F5060000}"/>
    <cellStyle name="60% - Accent2 2" xfId="1774" xr:uid="{00000000-0005-0000-0000-0000F7060000}"/>
    <cellStyle name="60% - Accent3 2" xfId="1776" xr:uid="{00000000-0005-0000-0000-0000F9060000}"/>
    <cellStyle name="60% - Accent4 2" xfId="1778" xr:uid="{00000000-0005-0000-0000-0000FB060000}"/>
    <cellStyle name="60% - Accent5 2" xfId="1780" xr:uid="{00000000-0005-0000-0000-0000FD060000}"/>
    <cellStyle name="60% - Accent6 2" xfId="1782" xr:uid="{00000000-0005-0000-0000-0000FF060000}"/>
    <cellStyle name="60% - akcent 1" xfId="1783" xr:uid="{00000000-0005-0000-0000-000000070000}"/>
    <cellStyle name="60% - akcent 1 2" xfId="1784" xr:uid="{00000000-0005-0000-0000-000001070000}"/>
    <cellStyle name="60% - akcent 2" xfId="1785" xr:uid="{00000000-0005-0000-0000-000002070000}"/>
    <cellStyle name="60% - akcent 2 2" xfId="1786" xr:uid="{00000000-0005-0000-0000-000003070000}"/>
    <cellStyle name="60% - akcent 3" xfId="1787" xr:uid="{00000000-0005-0000-0000-000004070000}"/>
    <cellStyle name="60% - akcent 3 2" xfId="1788" xr:uid="{00000000-0005-0000-0000-000005070000}"/>
    <cellStyle name="60% - akcent 4" xfId="1789" xr:uid="{00000000-0005-0000-0000-000006070000}"/>
    <cellStyle name="60% - akcent 4 2" xfId="1790" xr:uid="{00000000-0005-0000-0000-000007070000}"/>
    <cellStyle name="60% - akcent 5" xfId="1791" xr:uid="{00000000-0005-0000-0000-000008070000}"/>
    <cellStyle name="60% - akcent 5 2" xfId="1792" xr:uid="{00000000-0005-0000-0000-000009070000}"/>
    <cellStyle name="60% - akcent 6" xfId="1793" xr:uid="{00000000-0005-0000-0000-00000A070000}"/>
    <cellStyle name="60% - akcent 6 2" xfId="1794" xr:uid="{00000000-0005-0000-0000-00000B070000}"/>
    <cellStyle name="60% - Akzent1" xfId="1795" xr:uid="{00000000-0005-0000-0000-00000C070000}"/>
    <cellStyle name="60% - Akzent1 2" xfId="1796" xr:uid="{00000000-0005-0000-0000-00000D070000}"/>
    <cellStyle name="60% - Akzent1 3" xfId="1797" xr:uid="{00000000-0005-0000-0000-00000E070000}"/>
    <cellStyle name="60% - Akzent2" xfId="1798" xr:uid="{00000000-0005-0000-0000-00000F070000}"/>
    <cellStyle name="60% - Akzent2 2" xfId="1799" xr:uid="{00000000-0005-0000-0000-000010070000}"/>
    <cellStyle name="60% - Akzent2 3" xfId="1800" xr:uid="{00000000-0005-0000-0000-000011070000}"/>
    <cellStyle name="60% - Akzent3" xfId="1801" xr:uid="{00000000-0005-0000-0000-000012070000}"/>
    <cellStyle name="60% - Akzent3 2" xfId="1802" xr:uid="{00000000-0005-0000-0000-000013070000}"/>
    <cellStyle name="60% - Akzent3 3" xfId="1803" xr:uid="{00000000-0005-0000-0000-000014070000}"/>
    <cellStyle name="60% - Akzent4" xfId="1804" xr:uid="{00000000-0005-0000-0000-000015070000}"/>
    <cellStyle name="60% - Akzent4 2" xfId="1805" xr:uid="{00000000-0005-0000-0000-000016070000}"/>
    <cellStyle name="60% - Akzent4 3" xfId="1806" xr:uid="{00000000-0005-0000-0000-000017070000}"/>
    <cellStyle name="60% - Akzent5" xfId="1807" xr:uid="{00000000-0005-0000-0000-000018070000}"/>
    <cellStyle name="60% - Akzent5 2" xfId="1808" xr:uid="{00000000-0005-0000-0000-000019070000}"/>
    <cellStyle name="60% - Akzent5 3" xfId="1809" xr:uid="{00000000-0005-0000-0000-00001A070000}"/>
    <cellStyle name="60% - Akzent6" xfId="1810" xr:uid="{00000000-0005-0000-0000-00001B070000}"/>
    <cellStyle name="60% - Akzent6 2" xfId="1811" xr:uid="{00000000-0005-0000-0000-00001C070000}"/>
    <cellStyle name="60% - Akzent6 3" xfId="1812" xr:uid="{00000000-0005-0000-0000-00001D070000}"/>
    <cellStyle name="60% - Colore 1 2" xfId="1813" xr:uid="{00000000-0005-0000-0000-00001E070000}"/>
    <cellStyle name="60% - Colore 1 3" xfId="1814" xr:uid="{00000000-0005-0000-0000-00001F070000}"/>
    <cellStyle name="60% - Colore 2 2" xfId="1815" xr:uid="{00000000-0005-0000-0000-000020070000}"/>
    <cellStyle name="60% - Colore 2 3" xfId="1816" xr:uid="{00000000-0005-0000-0000-000021070000}"/>
    <cellStyle name="60% - Colore 3 2" xfId="1817" xr:uid="{00000000-0005-0000-0000-000022070000}"/>
    <cellStyle name="60% - Colore 3 3" xfId="1818" xr:uid="{00000000-0005-0000-0000-000023070000}"/>
    <cellStyle name="60% - Colore 4 2" xfId="1819" xr:uid="{00000000-0005-0000-0000-000024070000}"/>
    <cellStyle name="60% - Colore 4 3" xfId="1820" xr:uid="{00000000-0005-0000-0000-000025070000}"/>
    <cellStyle name="60% - Colore 5 2" xfId="1821" xr:uid="{00000000-0005-0000-0000-000026070000}"/>
    <cellStyle name="60% - Colore 5 3" xfId="1822" xr:uid="{00000000-0005-0000-0000-000027070000}"/>
    <cellStyle name="60% - Colore 6 2" xfId="1823" xr:uid="{00000000-0005-0000-0000-000028070000}"/>
    <cellStyle name="60% - Colore 6 3" xfId="1824" xr:uid="{00000000-0005-0000-0000-000029070000}"/>
    <cellStyle name="60% - Dekorfärg1" xfId="1825" xr:uid="{00000000-0005-0000-0000-00002A070000}"/>
    <cellStyle name="60% - Dekorfärg2" xfId="1826" xr:uid="{00000000-0005-0000-0000-00002B070000}"/>
    <cellStyle name="60% - Dekorfärg3" xfId="1827" xr:uid="{00000000-0005-0000-0000-00002C070000}"/>
    <cellStyle name="60% - Dekorfärg4" xfId="1828" xr:uid="{00000000-0005-0000-0000-00002D070000}"/>
    <cellStyle name="60% - Dekorfärg5" xfId="1829" xr:uid="{00000000-0005-0000-0000-00002E070000}"/>
    <cellStyle name="60% - Dekorfärg6" xfId="1830" xr:uid="{00000000-0005-0000-0000-00002F070000}"/>
    <cellStyle name="60% - Énfasis1" xfId="1831" xr:uid="{00000000-0005-0000-0000-000030070000}"/>
    <cellStyle name="60% - Énfasis2" xfId="1832" xr:uid="{00000000-0005-0000-0000-000031070000}"/>
    <cellStyle name="60% - Énfasis3" xfId="1833" xr:uid="{00000000-0005-0000-0000-000032070000}"/>
    <cellStyle name="60% - Énfasis4" xfId="1834" xr:uid="{00000000-0005-0000-0000-000033070000}"/>
    <cellStyle name="60% - Énfasis5" xfId="1835" xr:uid="{00000000-0005-0000-0000-000034070000}"/>
    <cellStyle name="60% - Énfasis6" xfId="1836" xr:uid="{00000000-0005-0000-0000-000035070000}"/>
    <cellStyle name="60% – paryškinimas 1" xfId="1837" xr:uid="{00000000-0005-0000-0000-000036070000}"/>
    <cellStyle name="60% – paryškinimas 2" xfId="1838" xr:uid="{00000000-0005-0000-0000-000037070000}"/>
    <cellStyle name="60% – paryškinimas 3" xfId="1839" xr:uid="{00000000-0005-0000-0000-000038070000}"/>
    <cellStyle name="60% – paryškinimas 4" xfId="1840" xr:uid="{00000000-0005-0000-0000-000039070000}"/>
    <cellStyle name="60% – paryškinimas 5" xfId="1841" xr:uid="{00000000-0005-0000-0000-00003A070000}"/>
    <cellStyle name="60% – paryškinimas 6" xfId="1842" xr:uid="{00000000-0005-0000-0000-00003B070000}"/>
    <cellStyle name="60% – rõhk1" xfId="1843" xr:uid="{00000000-0005-0000-0000-00003C070000}"/>
    <cellStyle name="60% – rõhk1 2" xfId="1844" xr:uid="{00000000-0005-0000-0000-00003D070000}"/>
    <cellStyle name="60% – rõhk1 3" xfId="1845" xr:uid="{00000000-0005-0000-0000-00003E070000}"/>
    <cellStyle name="60% – rõhk2" xfId="1846" xr:uid="{00000000-0005-0000-0000-00003F070000}"/>
    <cellStyle name="60% – rõhk2 2" xfId="1847" xr:uid="{00000000-0005-0000-0000-000040070000}"/>
    <cellStyle name="60% – rõhk2 3" xfId="1848" xr:uid="{00000000-0005-0000-0000-000041070000}"/>
    <cellStyle name="60% – rõhk3" xfId="1849" xr:uid="{00000000-0005-0000-0000-000042070000}"/>
    <cellStyle name="60% – rõhk3 2" xfId="1850" xr:uid="{00000000-0005-0000-0000-000043070000}"/>
    <cellStyle name="60% – rõhk3 3" xfId="1851" xr:uid="{00000000-0005-0000-0000-000044070000}"/>
    <cellStyle name="60% – rõhk4" xfId="1852" xr:uid="{00000000-0005-0000-0000-000045070000}"/>
    <cellStyle name="60% – rõhk4 2" xfId="1853" xr:uid="{00000000-0005-0000-0000-000046070000}"/>
    <cellStyle name="60% – rõhk4 3" xfId="1854" xr:uid="{00000000-0005-0000-0000-000047070000}"/>
    <cellStyle name="60% – rõhk5" xfId="1855" xr:uid="{00000000-0005-0000-0000-000048070000}"/>
    <cellStyle name="60% – rõhk5 2" xfId="1856" xr:uid="{00000000-0005-0000-0000-000049070000}"/>
    <cellStyle name="60% – rõhk5 3" xfId="1857" xr:uid="{00000000-0005-0000-0000-00004A070000}"/>
    <cellStyle name="60% – rõhk6" xfId="1858" xr:uid="{00000000-0005-0000-0000-00004B070000}"/>
    <cellStyle name="60% – rõhk6 2" xfId="1859" xr:uid="{00000000-0005-0000-0000-00004C070000}"/>
    <cellStyle name="60% – rõhk6 3" xfId="1860" xr:uid="{00000000-0005-0000-0000-00004D070000}"/>
    <cellStyle name="60% - Акцент1" xfId="1861" xr:uid="{00000000-0005-0000-0000-00004E070000}"/>
    <cellStyle name="60% - Акцент1 2" xfId="1862" xr:uid="{00000000-0005-0000-0000-00004F070000}"/>
    <cellStyle name="60% - Акцент1 3" xfId="1863" xr:uid="{00000000-0005-0000-0000-000050070000}"/>
    <cellStyle name="60% - Акцент2" xfId="1864" xr:uid="{00000000-0005-0000-0000-000051070000}"/>
    <cellStyle name="60% - Акцент2 2" xfId="1865" xr:uid="{00000000-0005-0000-0000-000052070000}"/>
    <cellStyle name="60% - Акцент2 3" xfId="1866" xr:uid="{00000000-0005-0000-0000-000053070000}"/>
    <cellStyle name="60% - Акцент3" xfId="1867" xr:uid="{00000000-0005-0000-0000-000054070000}"/>
    <cellStyle name="60% - Акцент3 2" xfId="1868" xr:uid="{00000000-0005-0000-0000-000055070000}"/>
    <cellStyle name="60% - Акцент3 3" xfId="1869" xr:uid="{00000000-0005-0000-0000-000056070000}"/>
    <cellStyle name="60% - Акцент4" xfId="1870" xr:uid="{00000000-0005-0000-0000-000057070000}"/>
    <cellStyle name="60% - Акцент4 2" xfId="1871" xr:uid="{00000000-0005-0000-0000-000058070000}"/>
    <cellStyle name="60% - Акцент4 3" xfId="1872" xr:uid="{00000000-0005-0000-0000-000059070000}"/>
    <cellStyle name="60% - Акцент5" xfId="1873" xr:uid="{00000000-0005-0000-0000-00005A070000}"/>
    <cellStyle name="60% - Акцент5 2" xfId="1874" xr:uid="{00000000-0005-0000-0000-00005B070000}"/>
    <cellStyle name="60% - Акцент5 3" xfId="1875" xr:uid="{00000000-0005-0000-0000-00005C070000}"/>
    <cellStyle name="60% - Акцент6" xfId="1876" xr:uid="{00000000-0005-0000-0000-00005D070000}"/>
    <cellStyle name="60% - Акцент6 2" xfId="1877" xr:uid="{00000000-0005-0000-0000-00005E070000}"/>
    <cellStyle name="60% - Акцент6 3" xfId="1878" xr:uid="{00000000-0005-0000-0000-00005F070000}"/>
    <cellStyle name="A" xfId="1879" xr:uid="{00000000-0005-0000-0000-000060070000}"/>
    <cellStyle name="Accent1 - 20 %" xfId="1884" xr:uid="{00000000-0005-0000-0000-000066070000}"/>
    <cellStyle name="Accent1 - 40 %" xfId="1885" xr:uid="{00000000-0005-0000-0000-000067070000}"/>
    <cellStyle name="Accent1 - 60 %" xfId="1886" xr:uid="{00000000-0005-0000-0000-000068070000}"/>
    <cellStyle name="Accent1 2" xfId="1887" xr:uid="{00000000-0005-0000-0000-000069070000}"/>
    <cellStyle name="Accent1 2 2" xfId="1888" xr:uid="{00000000-0005-0000-0000-00006A070000}"/>
    <cellStyle name="Accent1 2 2 2" xfId="1889" xr:uid="{00000000-0005-0000-0000-00006B070000}"/>
    <cellStyle name="Accent1 2 2 3" xfId="19" xr:uid="{00000000-0005-0000-0000-00006C070000}"/>
    <cellStyle name="Accent1 2 3" xfId="1890" xr:uid="{00000000-0005-0000-0000-00006D070000}"/>
    <cellStyle name="Accent1 2 4" xfId="1891" xr:uid="{00000000-0005-0000-0000-00006E070000}"/>
    <cellStyle name="Accent1 3" xfId="1892" xr:uid="{00000000-0005-0000-0000-00006F070000}"/>
    <cellStyle name="Accent1 3 2" xfId="1893" xr:uid="{00000000-0005-0000-0000-000070070000}"/>
    <cellStyle name="Accent1 3 2 2" xfId="1894" xr:uid="{00000000-0005-0000-0000-000071070000}"/>
    <cellStyle name="Accent1 3 3" xfId="1895" xr:uid="{00000000-0005-0000-0000-000072070000}"/>
    <cellStyle name="Accent1 4" xfId="1896" xr:uid="{00000000-0005-0000-0000-000073070000}"/>
    <cellStyle name="Accent1 4 2" xfId="1897" xr:uid="{00000000-0005-0000-0000-000074070000}"/>
    <cellStyle name="Accent1 4 3" xfId="1898" xr:uid="{00000000-0005-0000-0000-000075070000}"/>
    <cellStyle name="Accent1 5" xfId="1899" xr:uid="{00000000-0005-0000-0000-000076070000}"/>
    <cellStyle name="Accent1 6" xfId="14675" xr:uid="{00000000-0005-0000-0000-000077070000}"/>
    <cellStyle name="Accent1 7" xfId="14715" xr:uid="{00000000-0005-0000-0000-000078070000}"/>
    <cellStyle name="Accent1 8" xfId="14707" xr:uid="{00000000-0005-0000-0000-000079070000}"/>
    <cellStyle name="Accent2 - 20 %" xfId="1900" xr:uid="{00000000-0005-0000-0000-00007B070000}"/>
    <cellStyle name="Accent2 - 40 %" xfId="1901" xr:uid="{00000000-0005-0000-0000-00007C070000}"/>
    <cellStyle name="Accent2 - 60 %" xfId="1902" xr:uid="{00000000-0005-0000-0000-00007D070000}"/>
    <cellStyle name="Accent2 2" xfId="1903" xr:uid="{00000000-0005-0000-0000-00007E070000}"/>
    <cellStyle name="Accent2 2 2" xfId="1904" xr:uid="{00000000-0005-0000-0000-00007F070000}"/>
    <cellStyle name="Accent2 2 2 2" xfId="1905" xr:uid="{00000000-0005-0000-0000-000080070000}"/>
    <cellStyle name="Accent2 3" xfId="1906" xr:uid="{00000000-0005-0000-0000-000081070000}"/>
    <cellStyle name="Accent2 3 2" xfId="1907" xr:uid="{00000000-0005-0000-0000-000082070000}"/>
    <cellStyle name="Accent2 3 2 2" xfId="1908" xr:uid="{00000000-0005-0000-0000-000083070000}"/>
    <cellStyle name="Accent2 3 3" xfId="1909" xr:uid="{00000000-0005-0000-0000-000084070000}"/>
    <cellStyle name="Accent2 4" xfId="1910" xr:uid="{00000000-0005-0000-0000-000085070000}"/>
    <cellStyle name="Accent2 4 2" xfId="1911" xr:uid="{00000000-0005-0000-0000-000086070000}"/>
    <cellStyle name="Accent2 4 3" xfId="1912" xr:uid="{00000000-0005-0000-0000-000087070000}"/>
    <cellStyle name="Accent2 5" xfId="1913" xr:uid="{00000000-0005-0000-0000-000088070000}"/>
    <cellStyle name="Accent2 6" xfId="14676" xr:uid="{00000000-0005-0000-0000-000089070000}"/>
    <cellStyle name="Accent2 7" xfId="14685" xr:uid="{00000000-0005-0000-0000-00008A070000}"/>
    <cellStyle name="Accent2 8" xfId="14673" xr:uid="{00000000-0005-0000-0000-00008B070000}"/>
    <cellStyle name="Accent3 - 20 %" xfId="1914" xr:uid="{00000000-0005-0000-0000-00008D070000}"/>
    <cellStyle name="Accent3 - 40 %" xfId="1915" xr:uid="{00000000-0005-0000-0000-00008E070000}"/>
    <cellStyle name="Accent3 - 60 %" xfId="1916" xr:uid="{00000000-0005-0000-0000-00008F070000}"/>
    <cellStyle name="Accent3 2" xfId="1917" xr:uid="{00000000-0005-0000-0000-000090070000}"/>
    <cellStyle name="Accent3 2 2" xfId="1918" xr:uid="{00000000-0005-0000-0000-000091070000}"/>
    <cellStyle name="Accent3 2 2 2" xfId="1919" xr:uid="{00000000-0005-0000-0000-000092070000}"/>
    <cellStyle name="Accent3 3" xfId="1920" xr:uid="{00000000-0005-0000-0000-000093070000}"/>
    <cellStyle name="Accent3 3 2" xfId="1921" xr:uid="{00000000-0005-0000-0000-000094070000}"/>
    <cellStyle name="Accent3 3 3" xfId="1922" xr:uid="{00000000-0005-0000-0000-000095070000}"/>
    <cellStyle name="Accent3 4" xfId="1923" xr:uid="{00000000-0005-0000-0000-000096070000}"/>
    <cellStyle name="Accent3 5" xfId="1924" xr:uid="{00000000-0005-0000-0000-000097070000}"/>
    <cellStyle name="Accent3 5 2" xfId="1925" xr:uid="{00000000-0005-0000-0000-000098070000}"/>
    <cellStyle name="Accent3 6" xfId="1926" xr:uid="{00000000-0005-0000-0000-000099070000}"/>
    <cellStyle name="Accent3 7" xfId="14677" xr:uid="{00000000-0005-0000-0000-00009A070000}"/>
    <cellStyle name="Accent3 8" xfId="14721" xr:uid="{00000000-0005-0000-0000-00009B070000}"/>
    <cellStyle name="Accent3 9" xfId="14688" xr:uid="{00000000-0005-0000-0000-00009C070000}"/>
    <cellStyle name="Accent4 - 20 %" xfId="1927" xr:uid="{00000000-0005-0000-0000-00009E070000}"/>
    <cellStyle name="Accent4 - 40 %" xfId="1928" xr:uid="{00000000-0005-0000-0000-00009F070000}"/>
    <cellStyle name="Accent4 - 60 %" xfId="1929" xr:uid="{00000000-0005-0000-0000-0000A0070000}"/>
    <cellStyle name="Accent4 2" xfId="1930" xr:uid="{00000000-0005-0000-0000-0000A1070000}"/>
    <cellStyle name="Accent4 2 2" xfId="1931" xr:uid="{00000000-0005-0000-0000-0000A2070000}"/>
    <cellStyle name="Accent4 2 2 2" xfId="1932" xr:uid="{00000000-0005-0000-0000-0000A3070000}"/>
    <cellStyle name="Accent4 3" xfId="1933" xr:uid="{00000000-0005-0000-0000-0000A4070000}"/>
    <cellStyle name="Accent4 3 2" xfId="1934" xr:uid="{00000000-0005-0000-0000-0000A5070000}"/>
    <cellStyle name="Accent4 3 3" xfId="1935" xr:uid="{00000000-0005-0000-0000-0000A6070000}"/>
    <cellStyle name="Accent4 4" xfId="1936" xr:uid="{00000000-0005-0000-0000-0000A7070000}"/>
    <cellStyle name="Accent4 5" xfId="1937" xr:uid="{00000000-0005-0000-0000-0000A8070000}"/>
    <cellStyle name="Accent4 5 2" xfId="1938" xr:uid="{00000000-0005-0000-0000-0000A9070000}"/>
    <cellStyle name="Accent4 6" xfId="1939" xr:uid="{00000000-0005-0000-0000-0000AA070000}"/>
    <cellStyle name="Accent4 7" xfId="14678" xr:uid="{00000000-0005-0000-0000-0000AB070000}"/>
    <cellStyle name="Accent4 8" xfId="14718" xr:uid="{00000000-0005-0000-0000-0000AC070000}"/>
    <cellStyle name="Accent4 9" xfId="14689" xr:uid="{00000000-0005-0000-0000-0000AD070000}"/>
    <cellStyle name="Accent5 - 20 %" xfId="1940" xr:uid="{00000000-0005-0000-0000-0000AF070000}"/>
    <cellStyle name="Accent5 - 40 %" xfId="1941" xr:uid="{00000000-0005-0000-0000-0000B0070000}"/>
    <cellStyle name="Accent5 - 60 %" xfId="1942" xr:uid="{00000000-0005-0000-0000-0000B1070000}"/>
    <cellStyle name="Accent5 2" xfId="1943" xr:uid="{00000000-0005-0000-0000-0000B2070000}"/>
    <cellStyle name="Accent5 2 2" xfId="1944" xr:uid="{00000000-0005-0000-0000-0000B3070000}"/>
    <cellStyle name="Accent5 3" xfId="1945" xr:uid="{00000000-0005-0000-0000-0000B4070000}"/>
    <cellStyle name="Accent5 3 2" xfId="1946" xr:uid="{00000000-0005-0000-0000-0000B5070000}"/>
    <cellStyle name="Accent5 3 2 2" xfId="1947" xr:uid="{00000000-0005-0000-0000-0000B6070000}"/>
    <cellStyle name="Accent5 3 3" xfId="1948" xr:uid="{00000000-0005-0000-0000-0000B7070000}"/>
    <cellStyle name="Accent5 4" xfId="1949" xr:uid="{00000000-0005-0000-0000-0000B8070000}"/>
    <cellStyle name="Accent5 4 2" xfId="1950" xr:uid="{00000000-0005-0000-0000-0000B9070000}"/>
    <cellStyle name="Accent5 4 3" xfId="1951" xr:uid="{00000000-0005-0000-0000-0000BA070000}"/>
    <cellStyle name="Accent5 5" xfId="1952" xr:uid="{00000000-0005-0000-0000-0000BB070000}"/>
    <cellStyle name="Accent5 6" xfId="14679" xr:uid="{00000000-0005-0000-0000-0000BC070000}"/>
    <cellStyle name="Accent5 7" xfId="14719" xr:uid="{00000000-0005-0000-0000-0000BD070000}"/>
    <cellStyle name="Accent5 8" xfId="14692" xr:uid="{00000000-0005-0000-0000-0000BE070000}"/>
    <cellStyle name="Accent6 - 20 %" xfId="1953" xr:uid="{00000000-0005-0000-0000-0000C0070000}"/>
    <cellStyle name="Accent6 - 40 %" xfId="1954" xr:uid="{00000000-0005-0000-0000-0000C1070000}"/>
    <cellStyle name="Accent6 - 60 %" xfId="1955" xr:uid="{00000000-0005-0000-0000-0000C2070000}"/>
    <cellStyle name="Accent6 2" xfId="1956" xr:uid="{00000000-0005-0000-0000-0000C3070000}"/>
    <cellStyle name="Accent6 2 2" xfId="1957" xr:uid="{00000000-0005-0000-0000-0000C4070000}"/>
    <cellStyle name="Accent6 3" xfId="1958" xr:uid="{00000000-0005-0000-0000-0000C5070000}"/>
    <cellStyle name="Accent6 3 2" xfId="1959" xr:uid="{00000000-0005-0000-0000-0000C6070000}"/>
    <cellStyle name="Accent6 3 2 2" xfId="1960" xr:uid="{00000000-0005-0000-0000-0000C7070000}"/>
    <cellStyle name="Accent6 3 3" xfId="1961" xr:uid="{00000000-0005-0000-0000-0000C8070000}"/>
    <cellStyle name="Accent6 4" xfId="1962" xr:uid="{00000000-0005-0000-0000-0000C9070000}"/>
    <cellStyle name="Accent6 4 2" xfId="1963" xr:uid="{00000000-0005-0000-0000-0000CA070000}"/>
    <cellStyle name="Accent6 4 3" xfId="1964" xr:uid="{00000000-0005-0000-0000-0000CB070000}"/>
    <cellStyle name="Accent6 5" xfId="1965" xr:uid="{00000000-0005-0000-0000-0000CC070000}"/>
    <cellStyle name="Accent6 6" xfId="14680" xr:uid="{00000000-0005-0000-0000-0000CD070000}"/>
    <cellStyle name="Accent6 7" xfId="14720" xr:uid="{00000000-0005-0000-0000-0000CE070000}"/>
    <cellStyle name="Accent6 8" xfId="14690" xr:uid="{00000000-0005-0000-0000-0000CF070000}"/>
    <cellStyle name="Addon output" xfId="1966" xr:uid="{00000000-0005-0000-0000-0000D0070000}"/>
    <cellStyle name="Advarselstekst" xfId="1967" xr:uid="{00000000-0005-0000-0000-0000D1070000}"/>
    <cellStyle name="Aiškinamasis tekstas" xfId="1968" xr:uid="{00000000-0005-0000-0000-0000D2070000}"/>
    <cellStyle name="Akcent 1" xfId="1969" xr:uid="{00000000-0005-0000-0000-0000D3070000}"/>
    <cellStyle name="Akcent 1 2" xfId="1970" xr:uid="{00000000-0005-0000-0000-0000D4070000}"/>
    <cellStyle name="Akcent 2" xfId="1971" xr:uid="{00000000-0005-0000-0000-0000D5070000}"/>
    <cellStyle name="Akcent 2 2" xfId="1972" xr:uid="{00000000-0005-0000-0000-0000D6070000}"/>
    <cellStyle name="Akcent 3" xfId="1973" xr:uid="{00000000-0005-0000-0000-0000D7070000}"/>
    <cellStyle name="Akcent 3 2" xfId="1974" xr:uid="{00000000-0005-0000-0000-0000D8070000}"/>
    <cellStyle name="Akcent 4" xfId="1975" xr:uid="{00000000-0005-0000-0000-0000D9070000}"/>
    <cellStyle name="Akcent 4 2" xfId="1976" xr:uid="{00000000-0005-0000-0000-0000DA070000}"/>
    <cellStyle name="Akcent 5" xfId="1977" xr:uid="{00000000-0005-0000-0000-0000DB070000}"/>
    <cellStyle name="Akcent 5 2" xfId="1978" xr:uid="{00000000-0005-0000-0000-0000DC070000}"/>
    <cellStyle name="Akcent 6" xfId="1979" xr:uid="{00000000-0005-0000-0000-0000DD070000}"/>
    <cellStyle name="Akcent 6 2" xfId="1980" xr:uid="{00000000-0005-0000-0000-0000DE070000}"/>
    <cellStyle name="Aksentti1" xfId="1981" xr:uid="{00000000-0005-0000-0000-0000DF070000}"/>
    <cellStyle name="Aksentti2" xfId="1982" xr:uid="{00000000-0005-0000-0000-0000E0070000}"/>
    <cellStyle name="Aksentti3" xfId="1983" xr:uid="{00000000-0005-0000-0000-0000E1070000}"/>
    <cellStyle name="Aksentti4" xfId="1984" xr:uid="{00000000-0005-0000-0000-0000E2070000}"/>
    <cellStyle name="Aksentti5" xfId="1985" xr:uid="{00000000-0005-0000-0000-0000E3070000}"/>
    <cellStyle name="Aksentti6" xfId="1986" xr:uid="{00000000-0005-0000-0000-0000E4070000}"/>
    <cellStyle name="Akzent1" xfId="1987" xr:uid="{00000000-0005-0000-0000-0000E5070000}"/>
    <cellStyle name="Akzent1 2" xfId="1988" xr:uid="{00000000-0005-0000-0000-0000E6070000}"/>
    <cellStyle name="Akzent2" xfId="1989" xr:uid="{00000000-0005-0000-0000-0000E7070000}"/>
    <cellStyle name="Akzent2 2" xfId="1990" xr:uid="{00000000-0005-0000-0000-0000E8070000}"/>
    <cellStyle name="Akzent3" xfId="1991" xr:uid="{00000000-0005-0000-0000-0000E9070000}"/>
    <cellStyle name="Akzent4" xfId="1992" xr:uid="{00000000-0005-0000-0000-0000EA070000}"/>
    <cellStyle name="Akzent5" xfId="1993" xr:uid="{00000000-0005-0000-0000-0000EB070000}"/>
    <cellStyle name="Akzent6" xfId="1994" xr:uid="{00000000-0005-0000-0000-0000EC070000}"/>
    <cellStyle name="Anos" xfId="1995" xr:uid="{00000000-0005-0000-0000-0000ED070000}"/>
    <cellStyle name="Anteckning" xfId="1996" xr:uid="{00000000-0005-0000-0000-0000EE070000}"/>
    <cellStyle name="Anteckning 10" xfId="1997" xr:uid="{00000000-0005-0000-0000-0000EF070000}"/>
    <cellStyle name="Anteckning 10 2" xfId="1998" xr:uid="{00000000-0005-0000-0000-0000F0070000}"/>
    <cellStyle name="Anteckning 10 2 2" xfId="1999" xr:uid="{00000000-0005-0000-0000-0000F1070000}"/>
    <cellStyle name="Anteckning 10 2 3" xfId="2000" xr:uid="{00000000-0005-0000-0000-0000F2070000}"/>
    <cellStyle name="Anteckning 10 2 4" xfId="2001" xr:uid="{00000000-0005-0000-0000-0000F3070000}"/>
    <cellStyle name="Anteckning 10 2 5" xfId="2002" xr:uid="{00000000-0005-0000-0000-0000F4070000}"/>
    <cellStyle name="Anteckning 10 3" xfId="2003" xr:uid="{00000000-0005-0000-0000-0000F5070000}"/>
    <cellStyle name="Anteckning 10 4" xfId="2004" xr:uid="{00000000-0005-0000-0000-0000F6070000}"/>
    <cellStyle name="Anteckning 10 5" xfId="2005" xr:uid="{00000000-0005-0000-0000-0000F7070000}"/>
    <cellStyle name="Anteckning 10 6" xfId="2006" xr:uid="{00000000-0005-0000-0000-0000F8070000}"/>
    <cellStyle name="Anteckning 11" xfId="2007" xr:uid="{00000000-0005-0000-0000-0000F9070000}"/>
    <cellStyle name="Anteckning 11 2" xfId="2008" xr:uid="{00000000-0005-0000-0000-0000FA070000}"/>
    <cellStyle name="Anteckning 11 2 2" xfId="2009" xr:uid="{00000000-0005-0000-0000-0000FB070000}"/>
    <cellStyle name="Anteckning 11 2 3" xfId="2010" xr:uid="{00000000-0005-0000-0000-0000FC070000}"/>
    <cellStyle name="Anteckning 11 2 4" xfId="2011" xr:uid="{00000000-0005-0000-0000-0000FD070000}"/>
    <cellStyle name="Anteckning 11 2 5" xfId="2012" xr:uid="{00000000-0005-0000-0000-0000FE070000}"/>
    <cellStyle name="Anteckning 11 3" xfId="2013" xr:uid="{00000000-0005-0000-0000-0000FF070000}"/>
    <cellStyle name="Anteckning 11 4" xfId="2014" xr:uid="{00000000-0005-0000-0000-000000080000}"/>
    <cellStyle name="Anteckning 11 5" xfId="2015" xr:uid="{00000000-0005-0000-0000-000001080000}"/>
    <cellStyle name="Anteckning 11 6" xfId="2016" xr:uid="{00000000-0005-0000-0000-000002080000}"/>
    <cellStyle name="Anteckning 12" xfId="2017" xr:uid="{00000000-0005-0000-0000-000003080000}"/>
    <cellStyle name="Anteckning 12 2" xfId="2018" xr:uid="{00000000-0005-0000-0000-000004080000}"/>
    <cellStyle name="Anteckning 12 2 2" xfId="2019" xr:uid="{00000000-0005-0000-0000-000005080000}"/>
    <cellStyle name="Anteckning 12 2 3" xfId="2020" xr:uid="{00000000-0005-0000-0000-000006080000}"/>
    <cellStyle name="Anteckning 12 2 4" xfId="2021" xr:uid="{00000000-0005-0000-0000-000007080000}"/>
    <cellStyle name="Anteckning 12 2 5" xfId="2022" xr:uid="{00000000-0005-0000-0000-000008080000}"/>
    <cellStyle name="Anteckning 12 3" xfId="2023" xr:uid="{00000000-0005-0000-0000-000009080000}"/>
    <cellStyle name="Anteckning 12 4" xfId="2024" xr:uid="{00000000-0005-0000-0000-00000A080000}"/>
    <cellStyle name="Anteckning 12 5" xfId="2025" xr:uid="{00000000-0005-0000-0000-00000B080000}"/>
    <cellStyle name="Anteckning 12 6" xfId="2026" xr:uid="{00000000-0005-0000-0000-00000C080000}"/>
    <cellStyle name="Anteckning 13" xfId="2027" xr:uid="{00000000-0005-0000-0000-00000D080000}"/>
    <cellStyle name="Anteckning 13 2" xfId="2028" xr:uid="{00000000-0005-0000-0000-00000E080000}"/>
    <cellStyle name="Anteckning 13 2 2" xfId="2029" xr:uid="{00000000-0005-0000-0000-00000F080000}"/>
    <cellStyle name="Anteckning 13 2 3" xfId="2030" xr:uid="{00000000-0005-0000-0000-000010080000}"/>
    <cellStyle name="Anteckning 13 2 4" xfId="2031" xr:uid="{00000000-0005-0000-0000-000011080000}"/>
    <cellStyle name="Anteckning 13 2 5" xfId="2032" xr:uid="{00000000-0005-0000-0000-000012080000}"/>
    <cellStyle name="Anteckning 13 3" xfId="2033" xr:uid="{00000000-0005-0000-0000-000013080000}"/>
    <cellStyle name="Anteckning 13 4" xfId="2034" xr:uid="{00000000-0005-0000-0000-000014080000}"/>
    <cellStyle name="Anteckning 13 5" xfId="2035" xr:uid="{00000000-0005-0000-0000-000015080000}"/>
    <cellStyle name="Anteckning 13 6" xfId="2036" xr:uid="{00000000-0005-0000-0000-000016080000}"/>
    <cellStyle name="Anteckning 14" xfId="2037" xr:uid="{00000000-0005-0000-0000-000017080000}"/>
    <cellStyle name="Anteckning 14 2" xfId="2038" xr:uid="{00000000-0005-0000-0000-000018080000}"/>
    <cellStyle name="Anteckning 14 2 2" xfId="2039" xr:uid="{00000000-0005-0000-0000-000019080000}"/>
    <cellStyle name="Anteckning 14 2 3" xfId="2040" xr:uid="{00000000-0005-0000-0000-00001A080000}"/>
    <cellStyle name="Anteckning 14 2 4" xfId="2041" xr:uid="{00000000-0005-0000-0000-00001B080000}"/>
    <cellStyle name="Anteckning 14 2 5" xfId="2042" xr:uid="{00000000-0005-0000-0000-00001C080000}"/>
    <cellStyle name="Anteckning 14 3" xfId="2043" xr:uid="{00000000-0005-0000-0000-00001D080000}"/>
    <cellStyle name="Anteckning 14 4" xfId="2044" xr:uid="{00000000-0005-0000-0000-00001E080000}"/>
    <cellStyle name="Anteckning 14 5" xfId="2045" xr:uid="{00000000-0005-0000-0000-00001F080000}"/>
    <cellStyle name="Anteckning 14 6" xfId="2046" xr:uid="{00000000-0005-0000-0000-000020080000}"/>
    <cellStyle name="Anteckning 15" xfId="2047" xr:uid="{00000000-0005-0000-0000-000021080000}"/>
    <cellStyle name="Anteckning 15 2" xfId="2048" xr:uid="{00000000-0005-0000-0000-000022080000}"/>
    <cellStyle name="Anteckning 15 2 2" xfId="2049" xr:uid="{00000000-0005-0000-0000-000023080000}"/>
    <cellStyle name="Anteckning 15 2 3" xfId="2050" xr:uid="{00000000-0005-0000-0000-000024080000}"/>
    <cellStyle name="Anteckning 15 2 4" xfId="2051" xr:uid="{00000000-0005-0000-0000-000025080000}"/>
    <cellStyle name="Anteckning 15 2 5" xfId="2052" xr:uid="{00000000-0005-0000-0000-000026080000}"/>
    <cellStyle name="Anteckning 15 3" xfId="2053" xr:uid="{00000000-0005-0000-0000-000027080000}"/>
    <cellStyle name="Anteckning 15 4" xfId="2054" xr:uid="{00000000-0005-0000-0000-000028080000}"/>
    <cellStyle name="Anteckning 15 5" xfId="2055" xr:uid="{00000000-0005-0000-0000-000029080000}"/>
    <cellStyle name="Anteckning 15 6" xfId="2056" xr:uid="{00000000-0005-0000-0000-00002A080000}"/>
    <cellStyle name="Anteckning 16" xfId="2057" xr:uid="{00000000-0005-0000-0000-00002B080000}"/>
    <cellStyle name="Anteckning 16 2" xfId="2058" xr:uid="{00000000-0005-0000-0000-00002C080000}"/>
    <cellStyle name="Anteckning 16 2 2" xfId="2059" xr:uid="{00000000-0005-0000-0000-00002D080000}"/>
    <cellStyle name="Anteckning 16 2 3" xfId="2060" xr:uid="{00000000-0005-0000-0000-00002E080000}"/>
    <cellStyle name="Anteckning 16 2 4" xfId="2061" xr:uid="{00000000-0005-0000-0000-00002F080000}"/>
    <cellStyle name="Anteckning 16 2 5" xfId="2062" xr:uid="{00000000-0005-0000-0000-000030080000}"/>
    <cellStyle name="Anteckning 16 3" xfId="2063" xr:uid="{00000000-0005-0000-0000-000031080000}"/>
    <cellStyle name="Anteckning 16 4" xfId="2064" xr:uid="{00000000-0005-0000-0000-000032080000}"/>
    <cellStyle name="Anteckning 16 5" xfId="2065" xr:uid="{00000000-0005-0000-0000-000033080000}"/>
    <cellStyle name="Anteckning 16 6" xfId="2066" xr:uid="{00000000-0005-0000-0000-000034080000}"/>
    <cellStyle name="Anteckning 17" xfId="2067" xr:uid="{00000000-0005-0000-0000-000035080000}"/>
    <cellStyle name="Anteckning 17 2" xfId="2068" xr:uid="{00000000-0005-0000-0000-000036080000}"/>
    <cellStyle name="Anteckning 17 2 2" xfId="2069" xr:uid="{00000000-0005-0000-0000-000037080000}"/>
    <cellStyle name="Anteckning 17 2 3" xfId="2070" xr:uid="{00000000-0005-0000-0000-000038080000}"/>
    <cellStyle name="Anteckning 17 2 4" xfId="2071" xr:uid="{00000000-0005-0000-0000-000039080000}"/>
    <cellStyle name="Anteckning 17 2 5" xfId="2072" xr:uid="{00000000-0005-0000-0000-00003A080000}"/>
    <cellStyle name="Anteckning 17 3" xfId="2073" xr:uid="{00000000-0005-0000-0000-00003B080000}"/>
    <cellStyle name="Anteckning 17 4" xfId="2074" xr:uid="{00000000-0005-0000-0000-00003C080000}"/>
    <cellStyle name="Anteckning 17 5" xfId="2075" xr:uid="{00000000-0005-0000-0000-00003D080000}"/>
    <cellStyle name="Anteckning 17 6" xfId="2076" xr:uid="{00000000-0005-0000-0000-00003E080000}"/>
    <cellStyle name="Anteckning 18" xfId="2077" xr:uid="{00000000-0005-0000-0000-00003F080000}"/>
    <cellStyle name="Anteckning 18 2" xfId="2078" xr:uid="{00000000-0005-0000-0000-000040080000}"/>
    <cellStyle name="Anteckning 18 2 2" xfId="2079" xr:uid="{00000000-0005-0000-0000-000041080000}"/>
    <cellStyle name="Anteckning 18 2 3" xfId="2080" xr:uid="{00000000-0005-0000-0000-000042080000}"/>
    <cellStyle name="Anteckning 18 2 4" xfId="2081" xr:uid="{00000000-0005-0000-0000-000043080000}"/>
    <cellStyle name="Anteckning 18 2 5" xfId="2082" xr:uid="{00000000-0005-0000-0000-000044080000}"/>
    <cellStyle name="Anteckning 18 3" xfId="2083" xr:uid="{00000000-0005-0000-0000-000045080000}"/>
    <cellStyle name="Anteckning 18 4" xfId="2084" xr:uid="{00000000-0005-0000-0000-000046080000}"/>
    <cellStyle name="Anteckning 18 5" xfId="2085" xr:uid="{00000000-0005-0000-0000-000047080000}"/>
    <cellStyle name="Anteckning 18 6" xfId="2086" xr:uid="{00000000-0005-0000-0000-000048080000}"/>
    <cellStyle name="Anteckning 19" xfId="2087" xr:uid="{00000000-0005-0000-0000-000049080000}"/>
    <cellStyle name="Anteckning 19 2" xfId="2088" xr:uid="{00000000-0005-0000-0000-00004A080000}"/>
    <cellStyle name="Anteckning 19 3" xfId="2089" xr:uid="{00000000-0005-0000-0000-00004B080000}"/>
    <cellStyle name="Anteckning 19 4" xfId="2090" xr:uid="{00000000-0005-0000-0000-00004C080000}"/>
    <cellStyle name="Anteckning 19 5" xfId="2091" xr:uid="{00000000-0005-0000-0000-00004D080000}"/>
    <cellStyle name="Anteckning 2" xfId="2092" xr:uid="{00000000-0005-0000-0000-00004E080000}"/>
    <cellStyle name="Anteckning 2 2" xfId="2093" xr:uid="{00000000-0005-0000-0000-00004F080000}"/>
    <cellStyle name="Anteckning 2 2 2" xfId="2094" xr:uid="{00000000-0005-0000-0000-000050080000}"/>
    <cellStyle name="Anteckning 2 2 3" xfId="2095" xr:uid="{00000000-0005-0000-0000-000051080000}"/>
    <cellStyle name="Anteckning 2 2 4" xfId="2096" xr:uid="{00000000-0005-0000-0000-000052080000}"/>
    <cellStyle name="Anteckning 2 2 5" xfId="2097" xr:uid="{00000000-0005-0000-0000-000053080000}"/>
    <cellStyle name="Anteckning 2 3" xfId="2098" xr:uid="{00000000-0005-0000-0000-000054080000}"/>
    <cellStyle name="Anteckning 2 4" xfId="2099" xr:uid="{00000000-0005-0000-0000-000055080000}"/>
    <cellStyle name="Anteckning 2 5" xfId="2100" xr:uid="{00000000-0005-0000-0000-000056080000}"/>
    <cellStyle name="Anteckning 2 6" xfId="2101" xr:uid="{00000000-0005-0000-0000-000057080000}"/>
    <cellStyle name="Anteckning 20" xfId="2102" xr:uid="{00000000-0005-0000-0000-000058080000}"/>
    <cellStyle name="Anteckning 21" xfId="2103" xr:uid="{00000000-0005-0000-0000-000059080000}"/>
    <cellStyle name="Anteckning 22" xfId="2104" xr:uid="{00000000-0005-0000-0000-00005A080000}"/>
    <cellStyle name="Anteckning 23" xfId="2105" xr:uid="{00000000-0005-0000-0000-00005B080000}"/>
    <cellStyle name="Anteckning 3" xfId="2106" xr:uid="{00000000-0005-0000-0000-00005C080000}"/>
    <cellStyle name="Anteckning 3 2" xfId="2107" xr:uid="{00000000-0005-0000-0000-00005D080000}"/>
    <cellStyle name="Anteckning 3 2 2" xfId="2108" xr:uid="{00000000-0005-0000-0000-00005E080000}"/>
    <cellStyle name="Anteckning 3 2 3" xfId="2109" xr:uid="{00000000-0005-0000-0000-00005F080000}"/>
    <cellStyle name="Anteckning 3 2 4" xfId="2110" xr:uid="{00000000-0005-0000-0000-000060080000}"/>
    <cellStyle name="Anteckning 3 2 5" xfId="2111" xr:uid="{00000000-0005-0000-0000-000061080000}"/>
    <cellStyle name="Anteckning 3 3" xfId="2112" xr:uid="{00000000-0005-0000-0000-000062080000}"/>
    <cellStyle name="Anteckning 3 4" xfId="2113" xr:uid="{00000000-0005-0000-0000-000063080000}"/>
    <cellStyle name="Anteckning 3 5" xfId="2114" xr:uid="{00000000-0005-0000-0000-000064080000}"/>
    <cellStyle name="Anteckning 3 6" xfId="2115" xr:uid="{00000000-0005-0000-0000-000065080000}"/>
    <cellStyle name="Anteckning 4" xfId="2116" xr:uid="{00000000-0005-0000-0000-000066080000}"/>
    <cellStyle name="Anteckning 4 2" xfId="2117" xr:uid="{00000000-0005-0000-0000-000067080000}"/>
    <cellStyle name="Anteckning 4 2 2" xfId="2118" xr:uid="{00000000-0005-0000-0000-000068080000}"/>
    <cellStyle name="Anteckning 4 2 3" xfId="2119" xr:uid="{00000000-0005-0000-0000-000069080000}"/>
    <cellStyle name="Anteckning 4 2 4" xfId="2120" xr:uid="{00000000-0005-0000-0000-00006A080000}"/>
    <cellStyle name="Anteckning 4 2 5" xfId="2121" xr:uid="{00000000-0005-0000-0000-00006B080000}"/>
    <cellStyle name="Anteckning 4 3" xfId="2122" xr:uid="{00000000-0005-0000-0000-00006C080000}"/>
    <cellStyle name="Anteckning 4 4" xfId="2123" xr:uid="{00000000-0005-0000-0000-00006D080000}"/>
    <cellStyle name="Anteckning 4 5" xfId="2124" xr:uid="{00000000-0005-0000-0000-00006E080000}"/>
    <cellStyle name="Anteckning 4 6" xfId="2125" xr:uid="{00000000-0005-0000-0000-00006F080000}"/>
    <cellStyle name="Anteckning 5" xfId="2126" xr:uid="{00000000-0005-0000-0000-000070080000}"/>
    <cellStyle name="Anteckning 5 2" xfId="2127" xr:uid="{00000000-0005-0000-0000-000071080000}"/>
    <cellStyle name="Anteckning 5 2 2" xfId="2128" xr:uid="{00000000-0005-0000-0000-000072080000}"/>
    <cellStyle name="Anteckning 5 2 3" xfId="2129" xr:uid="{00000000-0005-0000-0000-000073080000}"/>
    <cellStyle name="Anteckning 5 2 4" xfId="2130" xr:uid="{00000000-0005-0000-0000-000074080000}"/>
    <cellStyle name="Anteckning 5 2 5" xfId="2131" xr:uid="{00000000-0005-0000-0000-000075080000}"/>
    <cellStyle name="Anteckning 5 3" xfId="2132" xr:uid="{00000000-0005-0000-0000-000076080000}"/>
    <cellStyle name="Anteckning 5 4" xfId="2133" xr:uid="{00000000-0005-0000-0000-000077080000}"/>
    <cellStyle name="Anteckning 5 5" xfId="2134" xr:uid="{00000000-0005-0000-0000-000078080000}"/>
    <cellStyle name="Anteckning 5 6" xfId="2135" xr:uid="{00000000-0005-0000-0000-000079080000}"/>
    <cellStyle name="Anteckning 6" xfId="2136" xr:uid="{00000000-0005-0000-0000-00007A080000}"/>
    <cellStyle name="Anteckning 6 2" xfId="2137" xr:uid="{00000000-0005-0000-0000-00007B080000}"/>
    <cellStyle name="Anteckning 6 2 2" xfId="2138" xr:uid="{00000000-0005-0000-0000-00007C080000}"/>
    <cellStyle name="Anteckning 6 2 3" xfId="2139" xr:uid="{00000000-0005-0000-0000-00007D080000}"/>
    <cellStyle name="Anteckning 6 2 4" xfId="2140" xr:uid="{00000000-0005-0000-0000-00007E080000}"/>
    <cellStyle name="Anteckning 6 2 5" xfId="2141" xr:uid="{00000000-0005-0000-0000-00007F080000}"/>
    <cellStyle name="Anteckning 6 3" xfId="2142" xr:uid="{00000000-0005-0000-0000-000080080000}"/>
    <cellStyle name="Anteckning 6 4" xfId="2143" xr:uid="{00000000-0005-0000-0000-000081080000}"/>
    <cellStyle name="Anteckning 6 5" xfId="2144" xr:uid="{00000000-0005-0000-0000-000082080000}"/>
    <cellStyle name="Anteckning 6 6" xfId="2145" xr:uid="{00000000-0005-0000-0000-000083080000}"/>
    <cellStyle name="Anteckning 7" xfId="2146" xr:uid="{00000000-0005-0000-0000-000084080000}"/>
    <cellStyle name="Anteckning 7 2" xfId="2147" xr:uid="{00000000-0005-0000-0000-000085080000}"/>
    <cellStyle name="Anteckning 7 2 2" xfId="2148" xr:uid="{00000000-0005-0000-0000-000086080000}"/>
    <cellStyle name="Anteckning 7 2 3" xfId="2149" xr:uid="{00000000-0005-0000-0000-000087080000}"/>
    <cellStyle name="Anteckning 7 2 4" xfId="2150" xr:uid="{00000000-0005-0000-0000-000088080000}"/>
    <cellStyle name="Anteckning 7 2 5" xfId="2151" xr:uid="{00000000-0005-0000-0000-000089080000}"/>
    <cellStyle name="Anteckning 7 3" xfId="2152" xr:uid="{00000000-0005-0000-0000-00008A080000}"/>
    <cellStyle name="Anteckning 7 4" xfId="2153" xr:uid="{00000000-0005-0000-0000-00008B080000}"/>
    <cellStyle name="Anteckning 7 5" xfId="2154" xr:uid="{00000000-0005-0000-0000-00008C080000}"/>
    <cellStyle name="Anteckning 7 6" xfId="2155" xr:uid="{00000000-0005-0000-0000-00008D080000}"/>
    <cellStyle name="Anteckning 8" xfId="2156" xr:uid="{00000000-0005-0000-0000-00008E080000}"/>
    <cellStyle name="Anteckning 8 2" xfId="2157" xr:uid="{00000000-0005-0000-0000-00008F080000}"/>
    <cellStyle name="Anteckning 8 2 2" xfId="2158" xr:uid="{00000000-0005-0000-0000-000090080000}"/>
    <cellStyle name="Anteckning 8 2 3" xfId="2159" xr:uid="{00000000-0005-0000-0000-000091080000}"/>
    <cellStyle name="Anteckning 8 2 4" xfId="2160" xr:uid="{00000000-0005-0000-0000-000092080000}"/>
    <cellStyle name="Anteckning 8 2 5" xfId="2161" xr:uid="{00000000-0005-0000-0000-000093080000}"/>
    <cellStyle name="Anteckning 8 3" xfId="2162" xr:uid="{00000000-0005-0000-0000-000094080000}"/>
    <cellStyle name="Anteckning 8 4" xfId="2163" xr:uid="{00000000-0005-0000-0000-000095080000}"/>
    <cellStyle name="Anteckning 8 5" xfId="2164" xr:uid="{00000000-0005-0000-0000-000096080000}"/>
    <cellStyle name="Anteckning 8 6" xfId="2165" xr:uid="{00000000-0005-0000-0000-000097080000}"/>
    <cellStyle name="Anteckning 9" xfId="2166" xr:uid="{00000000-0005-0000-0000-000098080000}"/>
    <cellStyle name="Anteckning 9 2" xfId="2167" xr:uid="{00000000-0005-0000-0000-000099080000}"/>
    <cellStyle name="Anteckning 9 2 2" xfId="2168" xr:uid="{00000000-0005-0000-0000-00009A080000}"/>
    <cellStyle name="Anteckning 9 2 3" xfId="2169" xr:uid="{00000000-0005-0000-0000-00009B080000}"/>
    <cellStyle name="Anteckning 9 2 4" xfId="2170" xr:uid="{00000000-0005-0000-0000-00009C080000}"/>
    <cellStyle name="Anteckning 9 2 5" xfId="2171" xr:uid="{00000000-0005-0000-0000-00009D080000}"/>
    <cellStyle name="Anteckning 9 3" xfId="2172" xr:uid="{00000000-0005-0000-0000-00009E080000}"/>
    <cellStyle name="Anteckning 9 4" xfId="2173" xr:uid="{00000000-0005-0000-0000-00009F080000}"/>
    <cellStyle name="Anteckning 9 5" xfId="2174" xr:uid="{00000000-0005-0000-0000-0000A0080000}"/>
    <cellStyle name="Anteckning 9 6" xfId="2175" xr:uid="{00000000-0005-0000-0000-0000A1080000}"/>
    <cellStyle name="Anteckning_PGM_CHECK" xfId="14880" xr:uid="{00000000-0005-0000-0000-0000A2080000}"/>
    <cellStyle name="arial" xfId="2176" xr:uid="{00000000-0005-0000-0000-0000A3080000}"/>
    <cellStyle name="arial gras" xfId="2177" xr:uid="{00000000-0005-0000-0000-0000A4080000}"/>
    <cellStyle name="Arvutus" xfId="2178" xr:uid="{00000000-0005-0000-0000-0000A5080000}"/>
    <cellStyle name="Arvutus 10" xfId="2179" xr:uid="{00000000-0005-0000-0000-0000A6080000}"/>
    <cellStyle name="Arvutus 10 2" xfId="2180" xr:uid="{00000000-0005-0000-0000-0000A7080000}"/>
    <cellStyle name="Arvutus 10 2 2" xfId="2181" xr:uid="{00000000-0005-0000-0000-0000A8080000}"/>
    <cellStyle name="Arvutus 10 2 3" xfId="2182" xr:uid="{00000000-0005-0000-0000-0000A9080000}"/>
    <cellStyle name="Arvutus 10 2 4" xfId="2183" xr:uid="{00000000-0005-0000-0000-0000AA080000}"/>
    <cellStyle name="Arvutus 10 2 5" xfId="2184" xr:uid="{00000000-0005-0000-0000-0000AB080000}"/>
    <cellStyle name="Arvutus 10 3" xfId="2185" xr:uid="{00000000-0005-0000-0000-0000AC080000}"/>
    <cellStyle name="Arvutus 10 4" xfId="2186" xr:uid="{00000000-0005-0000-0000-0000AD080000}"/>
    <cellStyle name="Arvutus 10 5" xfId="2187" xr:uid="{00000000-0005-0000-0000-0000AE080000}"/>
    <cellStyle name="Arvutus 10 6" xfId="2188" xr:uid="{00000000-0005-0000-0000-0000AF080000}"/>
    <cellStyle name="Arvutus 11" xfId="2189" xr:uid="{00000000-0005-0000-0000-0000B0080000}"/>
    <cellStyle name="Arvutus 11 2" xfId="2190" xr:uid="{00000000-0005-0000-0000-0000B1080000}"/>
    <cellStyle name="Arvutus 11 2 2" xfId="2191" xr:uid="{00000000-0005-0000-0000-0000B2080000}"/>
    <cellStyle name="Arvutus 11 2 3" xfId="2192" xr:uid="{00000000-0005-0000-0000-0000B3080000}"/>
    <cellStyle name="Arvutus 11 2 4" xfId="2193" xr:uid="{00000000-0005-0000-0000-0000B4080000}"/>
    <cellStyle name="Arvutus 11 2 5" xfId="2194" xr:uid="{00000000-0005-0000-0000-0000B5080000}"/>
    <cellStyle name="Arvutus 11 3" xfId="2195" xr:uid="{00000000-0005-0000-0000-0000B6080000}"/>
    <cellStyle name="Arvutus 11 4" xfId="2196" xr:uid="{00000000-0005-0000-0000-0000B7080000}"/>
    <cellStyle name="Arvutus 11 5" xfId="2197" xr:uid="{00000000-0005-0000-0000-0000B8080000}"/>
    <cellStyle name="Arvutus 11 6" xfId="2198" xr:uid="{00000000-0005-0000-0000-0000B9080000}"/>
    <cellStyle name="Arvutus 12" xfId="2199" xr:uid="{00000000-0005-0000-0000-0000BA080000}"/>
    <cellStyle name="Arvutus 12 2" xfId="2200" xr:uid="{00000000-0005-0000-0000-0000BB080000}"/>
    <cellStyle name="Arvutus 12 2 2" xfId="2201" xr:uid="{00000000-0005-0000-0000-0000BC080000}"/>
    <cellStyle name="Arvutus 12 2 3" xfId="2202" xr:uid="{00000000-0005-0000-0000-0000BD080000}"/>
    <cellStyle name="Arvutus 12 2 4" xfId="2203" xr:uid="{00000000-0005-0000-0000-0000BE080000}"/>
    <cellStyle name="Arvutus 12 2 5" xfId="2204" xr:uid="{00000000-0005-0000-0000-0000BF080000}"/>
    <cellStyle name="Arvutus 12 3" xfId="2205" xr:uid="{00000000-0005-0000-0000-0000C0080000}"/>
    <cellStyle name="Arvutus 12 4" xfId="2206" xr:uid="{00000000-0005-0000-0000-0000C1080000}"/>
    <cellStyle name="Arvutus 12 5" xfId="2207" xr:uid="{00000000-0005-0000-0000-0000C2080000}"/>
    <cellStyle name="Arvutus 12 6" xfId="2208" xr:uid="{00000000-0005-0000-0000-0000C3080000}"/>
    <cellStyle name="Arvutus 13" xfId="2209" xr:uid="{00000000-0005-0000-0000-0000C4080000}"/>
    <cellStyle name="Arvutus 13 2" xfId="2210" xr:uid="{00000000-0005-0000-0000-0000C5080000}"/>
    <cellStyle name="Arvutus 13 2 2" xfId="2211" xr:uid="{00000000-0005-0000-0000-0000C6080000}"/>
    <cellStyle name="Arvutus 13 2 3" xfId="2212" xr:uid="{00000000-0005-0000-0000-0000C7080000}"/>
    <cellStyle name="Arvutus 13 2 4" xfId="2213" xr:uid="{00000000-0005-0000-0000-0000C8080000}"/>
    <cellStyle name="Arvutus 13 2 5" xfId="2214" xr:uid="{00000000-0005-0000-0000-0000C9080000}"/>
    <cellStyle name="Arvutus 13 3" xfId="2215" xr:uid="{00000000-0005-0000-0000-0000CA080000}"/>
    <cellStyle name="Arvutus 13 4" xfId="2216" xr:uid="{00000000-0005-0000-0000-0000CB080000}"/>
    <cellStyle name="Arvutus 13 5" xfId="2217" xr:uid="{00000000-0005-0000-0000-0000CC080000}"/>
    <cellStyle name="Arvutus 13 6" xfId="2218" xr:uid="{00000000-0005-0000-0000-0000CD080000}"/>
    <cellStyle name="Arvutus 14" xfId="2219" xr:uid="{00000000-0005-0000-0000-0000CE080000}"/>
    <cellStyle name="Arvutus 14 2" xfId="2220" xr:uid="{00000000-0005-0000-0000-0000CF080000}"/>
    <cellStyle name="Arvutus 14 2 2" xfId="2221" xr:uid="{00000000-0005-0000-0000-0000D0080000}"/>
    <cellStyle name="Arvutus 14 2 3" xfId="2222" xr:uid="{00000000-0005-0000-0000-0000D1080000}"/>
    <cellStyle name="Arvutus 14 2 4" xfId="2223" xr:uid="{00000000-0005-0000-0000-0000D2080000}"/>
    <cellStyle name="Arvutus 14 2 5" xfId="2224" xr:uid="{00000000-0005-0000-0000-0000D3080000}"/>
    <cellStyle name="Arvutus 14 3" xfId="2225" xr:uid="{00000000-0005-0000-0000-0000D4080000}"/>
    <cellStyle name="Arvutus 14 4" xfId="2226" xr:uid="{00000000-0005-0000-0000-0000D5080000}"/>
    <cellStyle name="Arvutus 14 5" xfId="2227" xr:uid="{00000000-0005-0000-0000-0000D6080000}"/>
    <cellStyle name="Arvutus 14 6" xfId="2228" xr:uid="{00000000-0005-0000-0000-0000D7080000}"/>
    <cellStyle name="Arvutus 15" xfId="2229" xr:uid="{00000000-0005-0000-0000-0000D8080000}"/>
    <cellStyle name="Arvutus 15 2" xfId="2230" xr:uid="{00000000-0005-0000-0000-0000D9080000}"/>
    <cellStyle name="Arvutus 15 2 2" xfId="2231" xr:uid="{00000000-0005-0000-0000-0000DA080000}"/>
    <cellStyle name="Arvutus 15 2 3" xfId="2232" xr:uid="{00000000-0005-0000-0000-0000DB080000}"/>
    <cellStyle name="Arvutus 15 2 4" xfId="2233" xr:uid="{00000000-0005-0000-0000-0000DC080000}"/>
    <cellStyle name="Arvutus 15 2 5" xfId="2234" xr:uid="{00000000-0005-0000-0000-0000DD080000}"/>
    <cellStyle name="Arvutus 15 3" xfId="2235" xr:uid="{00000000-0005-0000-0000-0000DE080000}"/>
    <cellStyle name="Arvutus 15 4" xfId="2236" xr:uid="{00000000-0005-0000-0000-0000DF080000}"/>
    <cellStyle name="Arvutus 15 5" xfId="2237" xr:uid="{00000000-0005-0000-0000-0000E0080000}"/>
    <cellStyle name="Arvutus 15 6" xfId="2238" xr:uid="{00000000-0005-0000-0000-0000E1080000}"/>
    <cellStyle name="Arvutus 16" xfId="2239" xr:uid="{00000000-0005-0000-0000-0000E2080000}"/>
    <cellStyle name="Arvutus 16 2" xfId="2240" xr:uid="{00000000-0005-0000-0000-0000E3080000}"/>
    <cellStyle name="Arvutus 16 2 2" xfId="2241" xr:uid="{00000000-0005-0000-0000-0000E4080000}"/>
    <cellStyle name="Arvutus 16 2 3" xfId="2242" xr:uid="{00000000-0005-0000-0000-0000E5080000}"/>
    <cellStyle name="Arvutus 16 2 4" xfId="2243" xr:uid="{00000000-0005-0000-0000-0000E6080000}"/>
    <cellStyle name="Arvutus 16 2 5" xfId="2244" xr:uid="{00000000-0005-0000-0000-0000E7080000}"/>
    <cellStyle name="Arvutus 16 3" xfId="2245" xr:uid="{00000000-0005-0000-0000-0000E8080000}"/>
    <cellStyle name="Arvutus 16 4" xfId="2246" xr:uid="{00000000-0005-0000-0000-0000E9080000}"/>
    <cellStyle name="Arvutus 16 5" xfId="2247" xr:uid="{00000000-0005-0000-0000-0000EA080000}"/>
    <cellStyle name="Arvutus 16 6" xfId="2248" xr:uid="{00000000-0005-0000-0000-0000EB080000}"/>
    <cellStyle name="Arvutus 17" xfId="2249" xr:uid="{00000000-0005-0000-0000-0000EC080000}"/>
    <cellStyle name="Arvutus 17 2" xfId="2250" xr:uid="{00000000-0005-0000-0000-0000ED080000}"/>
    <cellStyle name="Arvutus 17 2 2" xfId="2251" xr:uid="{00000000-0005-0000-0000-0000EE080000}"/>
    <cellStyle name="Arvutus 17 2 3" xfId="2252" xr:uid="{00000000-0005-0000-0000-0000EF080000}"/>
    <cellStyle name="Arvutus 17 2 4" xfId="2253" xr:uid="{00000000-0005-0000-0000-0000F0080000}"/>
    <cellStyle name="Arvutus 17 2 5" xfId="2254" xr:uid="{00000000-0005-0000-0000-0000F1080000}"/>
    <cellStyle name="Arvutus 17 3" xfId="2255" xr:uid="{00000000-0005-0000-0000-0000F2080000}"/>
    <cellStyle name="Arvutus 17 4" xfId="2256" xr:uid="{00000000-0005-0000-0000-0000F3080000}"/>
    <cellStyle name="Arvutus 17 5" xfId="2257" xr:uid="{00000000-0005-0000-0000-0000F4080000}"/>
    <cellStyle name="Arvutus 17 6" xfId="2258" xr:uid="{00000000-0005-0000-0000-0000F5080000}"/>
    <cellStyle name="Arvutus 18" xfId="2259" xr:uid="{00000000-0005-0000-0000-0000F6080000}"/>
    <cellStyle name="Arvutus 18 2" xfId="2260" xr:uid="{00000000-0005-0000-0000-0000F7080000}"/>
    <cellStyle name="Arvutus 18 2 2" xfId="2261" xr:uid="{00000000-0005-0000-0000-0000F8080000}"/>
    <cellStyle name="Arvutus 18 2 3" xfId="2262" xr:uid="{00000000-0005-0000-0000-0000F9080000}"/>
    <cellStyle name="Arvutus 18 2 4" xfId="2263" xr:uid="{00000000-0005-0000-0000-0000FA080000}"/>
    <cellStyle name="Arvutus 18 2 5" xfId="2264" xr:uid="{00000000-0005-0000-0000-0000FB080000}"/>
    <cellStyle name="Arvutus 18 3" xfId="2265" xr:uid="{00000000-0005-0000-0000-0000FC080000}"/>
    <cellStyle name="Arvutus 18 4" xfId="2266" xr:uid="{00000000-0005-0000-0000-0000FD080000}"/>
    <cellStyle name="Arvutus 18 5" xfId="2267" xr:uid="{00000000-0005-0000-0000-0000FE080000}"/>
    <cellStyle name="Arvutus 18 6" xfId="2268" xr:uid="{00000000-0005-0000-0000-0000FF080000}"/>
    <cellStyle name="Arvutus 19" xfId="2269" xr:uid="{00000000-0005-0000-0000-000000090000}"/>
    <cellStyle name="Arvutus 19 2" xfId="2270" xr:uid="{00000000-0005-0000-0000-000001090000}"/>
    <cellStyle name="Arvutus 19 3" xfId="2271" xr:uid="{00000000-0005-0000-0000-000002090000}"/>
    <cellStyle name="Arvutus 19 4" xfId="2272" xr:uid="{00000000-0005-0000-0000-000003090000}"/>
    <cellStyle name="Arvutus 19 5" xfId="2273" xr:uid="{00000000-0005-0000-0000-000004090000}"/>
    <cellStyle name="Arvutus 2" xfId="2274" xr:uid="{00000000-0005-0000-0000-000005090000}"/>
    <cellStyle name="Arvutus 2 2" xfId="2275" xr:uid="{00000000-0005-0000-0000-000006090000}"/>
    <cellStyle name="Arvutus 2 2 2" xfId="2276" xr:uid="{00000000-0005-0000-0000-000007090000}"/>
    <cellStyle name="Arvutus 2 2 3" xfId="2277" xr:uid="{00000000-0005-0000-0000-000008090000}"/>
    <cellStyle name="Arvutus 2 2 4" xfId="2278" xr:uid="{00000000-0005-0000-0000-000009090000}"/>
    <cellStyle name="Arvutus 2 2 5" xfId="2279" xr:uid="{00000000-0005-0000-0000-00000A090000}"/>
    <cellStyle name="Arvutus 2 3" xfId="2280" xr:uid="{00000000-0005-0000-0000-00000B090000}"/>
    <cellStyle name="Arvutus 2 3 2" xfId="2281" xr:uid="{00000000-0005-0000-0000-00000C090000}"/>
    <cellStyle name="Arvutus 2 3 3" xfId="2282" xr:uid="{00000000-0005-0000-0000-00000D090000}"/>
    <cellStyle name="Arvutus 2 4" xfId="2283" xr:uid="{00000000-0005-0000-0000-00000E090000}"/>
    <cellStyle name="Arvutus 2 5" xfId="2284" xr:uid="{00000000-0005-0000-0000-00000F090000}"/>
    <cellStyle name="Arvutus 2 6" xfId="2285" xr:uid="{00000000-0005-0000-0000-000010090000}"/>
    <cellStyle name="Arvutus 2 7" xfId="2286" xr:uid="{00000000-0005-0000-0000-000011090000}"/>
    <cellStyle name="Arvutus 20" xfId="2287" xr:uid="{00000000-0005-0000-0000-000012090000}"/>
    <cellStyle name="Arvutus 20 2" xfId="2288" xr:uid="{00000000-0005-0000-0000-000013090000}"/>
    <cellStyle name="Arvutus 20 3" xfId="2289" xr:uid="{00000000-0005-0000-0000-000014090000}"/>
    <cellStyle name="Arvutus 21" xfId="2290" xr:uid="{00000000-0005-0000-0000-000015090000}"/>
    <cellStyle name="Arvutus 22" xfId="2291" xr:uid="{00000000-0005-0000-0000-000016090000}"/>
    <cellStyle name="Arvutus 23" xfId="2292" xr:uid="{00000000-0005-0000-0000-000017090000}"/>
    <cellStyle name="Arvutus 24" xfId="2293" xr:uid="{00000000-0005-0000-0000-000018090000}"/>
    <cellStyle name="Arvutus 3" xfId="2294" xr:uid="{00000000-0005-0000-0000-000019090000}"/>
    <cellStyle name="Arvutus 3 2" xfId="2295" xr:uid="{00000000-0005-0000-0000-00001A090000}"/>
    <cellStyle name="Arvutus 3 2 2" xfId="2296" xr:uid="{00000000-0005-0000-0000-00001B090000}"/>
    <cellStyle name="Arvutus 3 2 3" xfId="2297" xr:uid="{00000000-0005-0000-0000-00001C090000}"/>
    <cellStyle name="Arvutus 3 2 4" xfId="2298" xr:uid="{00000000-0005-0000-0000-00001D090000}"/>
    <cellStyle name="Arvutus 3 2 5" xfId="2299" xr:uid="{00000000-0005-0000-0000-00001E090000}"/>
    <cellStyle name="Arvutus 3 3" xfId="2300" xr:uid="{00000000-0005-0000-0000-00001F090000}"/>
    <cellStyle name="Arvutus 3 4" xfId="2301" xr:uid="{00000000-0005-0000-0000-000020090000}"/>
    <cellStyle name="Arvutus 3 5" xfId="2302" xr:uid="{00000000-0005-0000-0000-000021090000}"/>
    <cellStyle name="Arvutus 3 6" xfId="2303" xr:uid="{00000000-0005-0000-0000-000022090000}"/>
    <cellStyle name="Arvutus 4" xfId="2304" xr:uid="{00000000-0005-0000-0000-000023090000}"/>
    <cellStyle name="Arvutus 4 2" xfId="2305" xr:uid="{00000000-0005-0000-0000-000024090000}"/>
    <cellStyle name="Arvutus 4 2 2" xfId="2306" xr:uid="{00000000-0005-0000-0000-000025090000}"/>
    <cellStyle name="Arvutus 4 2 3" xfId="2307" xr:uid="{00000000-0005-0000-0000-000026090000}"/>
    <cellStyle name="Arvutus 4 2 4" xfId="2308" xr:uid="{00000000-0005-0000-0000-000027090000}"/>
    <cellStyle name="Arvutus 4 2 5" xfId="2309" xr:uid="{00000000-0005-0000-0000-000028090000}"/>
    <cellStyle name="Arvutus 4 3" xfId="2310" xr:uid="{00000000-0005-0000-0000-000029090000}"/>
    <cellStyle name="Arvutus 4 4" xfId="2311" xr:uid="{00000000-0005-0000-0000-00002A090000}"/>
    <cellStyle name="Arvutus 4 5" xfId="2312" xr:uid="{00000000-0005-0000-0000-00002B090000}"/>
    <cellStyle name="Arvutus 4 6" xfId="2313" xr:uid="{00000000-0005-0000-0000-00002C090000}"/>
    <cellStyle name="Arvutus 5" xfId="2314" xr:uid="{00000000-0005-0000-0000-00002D090000}"/>
    <cellStyle name="Arvutus 5 2" xfId="2315" xr:uid="{00000000-0005-0000-0000-00002E090000}"/>
    <cellStyle name="Arvutus 5 2 2" xfId="2316" xr:uid="{00000000-0005-0000-0000-00002F090000}"/>
    <cellStyle name="Arvutus 5 2 3" xfId="2317" xr:uid="{00000000-0005-0000-0000-000030090000}"/>
    <cellStyle name="Arvutus 5 2 4" xfId="2318" xr:uid="{00000000-0005-0000-0000-000031090000}"/>
    <cellStyle name="Arvutus 5 2 5" xfId="2319" xr:uid="{00000000-0005-0000-0000-000032090000}"/>
    <cellStyle name="Arvutus 5 3" xfId="2320" xr:uid="{00000000-0005-0000-0000-000033090000}"/>
    <cellStyle name="Arvutus 5 4" xfId="2321" xr:uid="{00000000-0005-0000-0000-000034090000}"/>
    <cellStyle name="Arvutus 5 5" xfId="2322" xr:uid="{00000000-0005-0000-0000-000035090000}"/>
    <cellStyle name="Arvutus 5 6" xfId="2323" xr:uid="{00000000-0005-0000-0000-000036090000}"/>
    <cellStyle name="Arvutus 6" xfId="2324" xr:uid="{00000000-0005-0000-0000-000037090000}"/>
    <cellStyle name="Arvutus 6 2" xfId="2325" xr:uid="{00000000-0005-0000-0000-000038090000}"/>
    <cellStyle name="Arvutus 6 2 2" xfId="2326" xr:uid="{00000000-0005-0000-0000-000039090000}"/>
    <cellStyle name="Arvutus 6 2 3" xfId="2327" xr:uid="{00000000-0005-0000-0000-00003A090000}"/>
    <cellStyle name="Arvutus 6 2 4" xfId="2328" xr:uid="{00000000-0005-0000-0000-00003B090000}"/>
    <cellStyle name="Arvutus 6 2 5" xfId="2329" xr:uid="{00000000-0005-0000-0000-00003C090000}"/>
    <cellStyle name="Arvutus 6 3" xfId="2330" xr:uid="{00000000-0005-0000-0000-00003D090000}"/>
    <cellStyle name="Arvutus 6 4" xfId="2331" xr:uid="{00000000-0005-0000-0000-00003E090000}"/>
    <cellStyle name="Arvutus 6 5" xfId="2332" xr:uid="{00000000-0005-0000-0000-00003F090000}"/>
    <cellStyle name="Arvutus 6 6" xfId="2333" xr:uid="{00000000-0005-0000-0000-000040090000}"/>
    <cellStyle name="Arvutus 7" xfId="2334" xr:uid="{00000000-0005-0000-0000-000041090000}"/>
    <cellStyle name="Arvutus 7 2" xfId="2335" xr:uid="{00000000-0005-0000-0000-000042090000}"/>
    <cellStyle name="Arvutus 7 2 2" xfId="2336" xr:uid="{00000000-0005-0000-0000-000043090000}"/>
    <cellStyle name="Arvutus 7 2 3" xfId="2337" xr:uid="{00000000-0005-0000-0000-000044090000}"/>
    <cellStyle name="Arvutus 7 2 4" xfId="2338" xr:uid="{00000000-0005-0000-0000-000045090000}"/>
    <cellStyle name="Arvutus 7 2 5" xfId="2339" xr:uid="{00000000-0005-0000-0000-000046090000}"/>
    <cellStyle name="Arvutus 7 3" xfId="2340" xr:uid="{00000000-0005-0000-0000-000047090000}"/>
    <cellStyle name="Arvutus 7 4" xfId="2341" xr:uid="{00000000-0005-0000-0000-000048090000}"/>
    <cellStyle name="Arvutus 7 5" xfId="2342" xr:uid="{00000000-0005-0000-0000-000049090000}"/>
    <cellStyle name="Arvutus 7 6" xfId="2343" xr:uid="{00000000-0005-0000-0000-00004A090000}"/>
    <cellStyle name="Arvutus 8" xfId="2344" xr:uid="{00000000-0005-0000-0000-00004B090000}"/>
    <cellStyle name="Arvutus 8 2" xfId="2345" xr:uid="{00000000-0005-0000-0000-00004C090000}"/>
    <cellStyle name="Arvutus 8 2 2" xfId="2346" xr:uid="{00000000-0005-0000-0000-00004D090000}"/>
    <cellStyle name="Arvutus 8 2 3" xfId="2347" xr:uid="{00000000-0005-0000-0000-00004E090000}"/>
    <cellStyle name="Arvutus 8 2 4" xfId="2348" xr:uid="{00000000-0005-0000-0000-00004F090000}"/>
    <cellStyle name="Arvutus 8 2 5" xfId="2349" xr:uid="{00000000-0005-0000-0000-000050090000}"/>
    <cellStyle name="Arvutus 8 3" xfId="2350" xr:uid="{00000000-0005-0000-0000-000051090000}"/>
    <cellStyle name="Arvutus 8 4" xfId="2351" xr:uid="{00000000-0005-0000-0000-000052090000}"/>
    <cellStyle name="Arvutus 8 5" xfId="2352" xr:uid="{00000000-0005-0000-0000-000053090000}"/>
    <cellStyle name="Arvutus 8 6" xfId="2353" xr:uid="{00000000-0005-0000-0000-000054090000}"/>
    <cellStyle name="Arvutus 9" xfId="2354" xr:uid="{00000000-0005-0000-0000-000055090000}"/>
    <cellStyle name="Arvutus 9 2" xfId="2355" xr:uid="{00000000-0005-0000-0000-000056090000}"/>
    <cellStyle name="Arvutus 9 2 2" xfId="2356" xr:uid="{00000000-0005-0000-0000-000057090000}"/>
    <cellStyle name="Arvutus 9 2 3" xfId="2357" xr:uid="{00000000-0005-0000-0000-000058090000}"/>
    <cellStyle name="Arvutus 9 2 4" xfId="2358" xr:uid="{00000000-0005-0000-0000-000059090000}"/>
    <cellStyle name="Arvutus 9 2 5" xfId="2359" xr:uid="{00000000-0005-0000-0000-00005A090000}"/>
    <cellStyle name="Arvutus 9 3" xfId="2360" xr:uid="{00000000-0005-0000-0000-00005B090000}"/>
    <cellStyle name="Arvutus 9 4" xfId="2361" xr:uid="{00000000-0005-0000-0000-00005C090000}"/>
    <cellStyle name="Arvutus 9 5" xfId="2362" xr:uid="{00000000-0005-0000-0000-00005D090000}"/>
    <cellStyle name="Arvutus 9 6" xfId="2363" xr:uid="{00000000-0005-0000-0000-00005E090000}"/>
    <cellStyle name="Arvutus_KTR An-Abflug" xfId="14878" xr:uid="{00000000-0005-0000-0000-00005F090000}"/>
    <cellStyle name="assumption 1" xfId="2364" xr:uid="{00000000-0005-0000-0000-000060090000}"/>
    <cellStyle name="assumption 2" xfId="2365" xr:uid="{00000000-0005-0000-0000-000061090000}"/>
    <cellStyle name="assumption 2 2" xfId="2366" xr:uid="{00000000-0005-0000-0000-000062090000}"/>
    <cellStyle name="assumption 4" xfId="2367" xr:uid="{00000000-0005-0000-0000-000063090000}"/>
    <cellStyle name="Assumption Date" xfId="2368" xr:uid="{00000000-0005-0000-0000-000064090000}"/>
    <cellStyle name="Assumptions % 0 dp" xfId="2369" xr:uid="{00000000-0005-0000-0000-000065090000}"/>
    <cellStyle name="Assumptions % 1 dp" xfId="2370" xr:uid="{00000000-0005-0000-0000-000066090000}"/>
    <cellStyle name="Assumptions % 2 dp" xfId="2371" xr:uid="{00000000-0005-0000-0000-000067090000}"/>
    <cellStyle name="Assumptions 0 dp" xfId="2372" xr:uid="{00000000-0005-0000-0000-000068090000}"/>
    <cellStyle name="Assumptions 2 dp" xfId="2373" xr:uid="{00000000-0005-0000-0000-000069090000}"/>
    <cellStyle name="Assumptions 3 dp" xfId="2374" xr:uid="{00000000-0005-0000-0000-00006A090000}"/>
    <cellStyle name="Ausgabe" xfId="2375" xr:uid="{00000000-0005-0000-0000-00006B090000}"/>
    <cellStyle name="Ausgabe 2" xfId="2376" xr:uid="{00000000-0005-0000-0000-00006C090000}"/>
    <cellStyle name="Ausgabe 3" xfId="2377" xr:uid="{00000000-0005-0000-0000-00006D090000}"/>
    <cellStyle name="Avertissement 2" xfId="2378" xr:uid="{00000000-0005-0000-0000-00006E090000}"/>
    <cellStyle name="Avertissement 2 2" xfId="2379" xr:uid="{00000000-0005-0000-0000-00006F090000}"/>
    <cellStyle name="Avertissement 3" xfId="2380" xr:uid="{00000000-0005-0000-0000-000070090000}"/>
    <cellStyle name="Avertissement 3 2" xfId="2381" xr:uid="{00000000-0005-0000-0000-000071090000}"/>
    <cellStyle name="Avertissement 4" xfId="2382" xr:uid="{00000000-0005-0000-0000-000072090000}"/>
    <cellStyle name="Avertissement 4 2" xfId="2383" xr:uid="{00000000-0005-0000-0000-000073090000}"/>
    <cellStyle name="Avertissement 5" xfId="2384" xr:uid="{00000000-0005-0000-0000-000074090000}"/>
    <cellStyle name="B" xfId="2385" xr:uid="{00000000-0005-0000-0000-000075090000}"/>
    <cellStyle name="Bad" xfId="14662" xr:uid="{00000000-0005-0000-0000-000076090000}"/>
    <cellStyle name="Bad 2" xfId="2386" xr:uid="{00000000-0005-0000-0000-000077090000}"/>
    <cellStyle name="Bad 3" xfId="2387" xr:uid="{00000000-0005-0000-0000-000078090000}"/>
    <cellStyle name="Bemærk!" xfId="2388" xr:uid="{00000000-0005-0000-0000-000079090000}"/>
    <cellStyle name="Bemærk! 10" xfId="2389" xr:uid="{00000000-0005-0000-0000-00007A090000}"/>
    <cellStyle name="Bemærk! 10 2" xfId="2390" xr:uid="{00000000-0005-0000-0000-00007B090000}"/>
    <cellStyle name="Bemærk! 10 2 2" xfId="2391" xr:uid="{00000000-0005-0000-0000-00007C090000}"/>
    <cellStyle name="Bemærk! 10 2 3" xfId="2392" xr:uid="{00000000-0005-0000-0000-00007D090000}"/>
    <cellStyle name="Bemærk! 10 2 4" xfId="2393" xr:uid="{00000000-0005-0000-0000-00007E090000}"/>
    <cellStyle name="Bemærk! 10 2 5" xfId="2394" xr:uid="{00000000-0005-0000-0000-00007F090000}"/>
    <cellStyle name="Bemærk! 10 3" xfId="2395" xr:uid="{00000000-0005-0000-0000-000080090000}"/>
    <cellStyle name="Bemærk! 10 4" xfId="2396" xr:uid="{00000000-0005-0000-0000-000081090000}"/>
    <cellStyle name="Bemærk! 10 5" xfId="2397" xr:uid="{00000000-0005-0000-0000-000082090000}"/>
    <cellStyle name="Bemærk! 10 6" xfId="2398" xr:uid="{00000000-0005-0000-0000-000083090000}"/>
    <cellStyle name="Bemærk! 11" xfId="2399" xr:uid="{00000000-0005-0000-0000-000084090000}"/>
    <cellStyle name="Bemærk! 11 2" xfId="2400" xr:uid="{00000000-0005-0000-0000-000085090000}"/>
    <cellStyle name="Bemærk! 11 2 2" xfId="2401" xr:uid="{00000000-0005-0000-0000-000086090000}"/>
    <cellStyle name="Bemærk! 11 2 3" xfId="2402" xr:uid="{00000000-0005-0000-0000-000087090000}"/>
    <cellStyle name="Bemærk! 11 2 4" xfId="2403" xr:uid="{00000000-0005-0000-0000-000088090000}"/>
    <cellStyle name="Bemærk! 11 2 5" xfId="2404" xr:uid="{00000000-0005-0000-0000-000089090000}"/>
    <cellStyle name="Bemærk! 11 3" xfId="2405" xr:uid="{00000000-0005-0000-0000-00008A090000}"/>
    <cellStyle name="Bemærk! 11 4" xfId="2406" xr:uid="{00000000-0005-0000-0000-00008B090000}"/>
    <cellStyle name="Bemærk! 11 5" xfId="2407" xr:uid="{00000000-0005-0000-0000-00008C090000}"/>
    <cellStyle name="Bemærk! 11 6" xfId="2408" xr:uid="{00000000-0005-0000-0000-00008D090000}"/>
    <cellStyle name="Bemærk! 12" xfId="2409" xr:uid="{00000000-0005-0000-0000-00008E090000}"/>
    <cellStyle name="Bemærk! 12 2" xfId="2410" xr:uid="{00000000-0005-0000-0000-00008F090000}"/>
    <cellStyle name="Bemærk! 12 2 2" xfId="2411" xr:uid="{00000000-0005-0000-0000-000090090000}"/>
    <cellStyle name="Bemærk! 12 2 3" xfId="2412" xr:uid="{00000000-0005-0000-0000-000091090000}"/>
    <cellStyle name="Bemærk! 12 2 4" xfId="2413" xr:uid="{00000000-0005-0000-0000-000092090000}"/>
    <cellStyle name="Bemærk! 12 2 5" xfId="2414" xr:uid="{00000000-0005-0000-0000-000093090000}"/>
    <cellStyle name="Bemærk! 12 3" xfId="2415" xr:uid="{00000000-0005-0000-0000-000094090000}"/>
    <cellStyle name="Bemærk! 12 4" xfId="2416" xr:uid="{00000000-0005-0000-0000-000095090000}"/>
    <cellStyle name="Bemærk! 12 5" xfId="2417" xr:uid="{00000000-0005-0000-0000-000096090000}"/>
    <cellStyle name="Bemærk! 12 6" xfId="2418" xr:uid="{00000000-0005-0000-0000-000097090000}"/>
    <cellStyle name="Bemærk! 13" xfId="2419" xr:uid="{00000000-0005-0000-0000-000098090000}"/>
    <cellStyle name="Bemærk! 13 2" xfId="2420" xr:uid="{00000000-0005-0000-0000-000099090000}"/>
    <cellStyle name="Bemærk! 13 2 2" xfId="2421" xr:uid="{00000000-0005-0000-0000-00009A090000}"/>
    <cellStyle name="Bemærk! 13 2 3" xfId="2422" xr:uid="{00000000-0005-0000-0000-00009B090000}"/>
    <cellStyle name="Bemærk! 13 2 4" xfId="2423" xr:uid="{00000000-0005-0000-0000-00009C090000}"/>
    <cellStyle name="Bemærk! 13 2 5" xfId="2424" xr:uid="{00000000-0005-0000-0000-00009D090000}"/>
    <cellStyle name="Bemærk! 13 3" xfId="2425" xr:uid="{00000000-0005-0000-0000-00009E090000}"/>
    <cellStyle name="Bemærk! 13 4" xfId="2426" xr:uid="{00000000-0005-0000-0000-00009F090000}"/>
    <cellStyle name="Bemærk! 13 5" xfId="2427" xr:uid="{00000000-0005-0000-0000-0000A0090000}"/>
    <cellStyle name="Bemærk! 13 6" xfId="2428" xr:uid="{00000000-0005-0000-0000-0000A1090000}"/>
    <cellStyle name="Bemærk! 14" xfId="2429" xr:uid="{00000000-0005-0000-0000-0000A2090000}"/>
    <cellStyle name="Bemærk! 14 2" xfId="2430" xr:uid="{00000000-0005-0000-0000-0000A3090000}"/>
    <cellStyle name="Bemærk! 14 2 2" xfId="2431" xr:uid="{00000000-0005-0000-0000-0000A4090000}"/>
    <cellStyle name="Bemærk! 14 2 3" xfId="2432" xr:uid="{00000000-0005-0000-0000-0000A5090000}"/>
    <cellStyle name="Bemærk! 14 2 4" xfId="2433" xr:uid="{00000000-0005-0000-0000-0000A6090000}"/>
    <cellStyle name="Bemærk! 14 2 5" xfId="2434" xr:uid="{00000000-0005-0000-0000-0000A7090000}"/>
    <cellStyle name="Bemærk! 14 3" xfId="2435" xr:uid="{00000000-0005-0000-0000-0000A8090000}"/>
    <cellStyle name="Bemærk! 14 4" xfId="2436" xr:uid="{00000000-0005-0000-0000-0000A9090000}"/>
    <cellStyle name="Bemærk! 14 5" xfId="2437" xr:uid="{00000000-0005-0000-0000-0000AA090000}"/>
    <cellStyle name="Bemærk! 14 6" xfId="2438" xr:uid="{00000000-0005-0000-0000-0000AB090000}"/>
    <cellStyle name="Bemærk! 15" xfId="2439" xr:uid="{00000000-0005-0000-0000-0000AC090000}"/>
    <cellStyle name="Bemærk! 15 2" xfId="2440" xr:uid="{00000000-0005-0000-0000-0000AD090000}"/>
    <cellStyle name="Bemærk! 15 2 2" xfId="2441" xr:uid="{00000000-0005-0000-0000-0000AE090000}"/>
    <cellStyle name="Bemærk! 15 2 3" xfId="2442" xr:uid="{00000000-0005-0000-0000-0000AF090000}"/>
    <cellStyle name="Bemærk! 15 2 4" xfId="2443" xr:uid="{00000000-0005-0000-0000-0000B0090000}"/>
    <cellStyle name="Bemærk! 15 2 5" xfId="2444" xr:uid="{00000000-0005-0000-0000-0000B1090000}"/>
    <cellStyle name="Bemærk! 15 3" xfId="2445" xr:uid="{00000000-0005-0000-0000-0000B2090000}"/>
    <cellStyle name="Bemærk! 15 4" xfId="2446" xr:uid="{00000000-0005-0000-0000-0000B3090000}"/>
    <cellStyle name="Bemærk! 15 5" xfId="2447" xr:uid="{00000000-0005-0000-0000-0000B4090000}"/>
    <cellStyle name="Bemærk! 15 6" xfId="2448" xr:uid="{00000000-0005-0000-0000-0000B5090000}"/>
    <cellStyle name="Bemærk! 16" xfId="2449" xr:uid="{00000000-0005-0000-0000-0000B6090000}"/>
    <cellStyle name="Bemærk! 16 2" xfId="2450" xr:uid="{00000000-0005-0000-0000-0000B7090000}"/>
    <cellStyle name="Bemærk! 16 2 2" xfId="2451" xr:uid="{00000000-0005-0000-0000-0000B8090000}"/>
    <cellStyle name="Bemærk! 16 2 3" xfId="2452" xr:uid="{00000000-0005-0000-0000-0000B9090000}"/>
    <cellStyle name="Bemærk! 16 2 4" xfId="2453" xr:uid="{00000000-0005-0000-0000-0000BA090000}"/>
    <cellStyle name="Bemærk! 16 2 5" xfId="2454" xr:uid="{00000000-0005-0000-0000-0000BB090000}"/>
    <cellStyle name="Bemærk! 16 3" xfId="2455" xr:uid="{00000000-0005-0000-0000-0000BC090000}"/>
    <cellStyle name="Bemærk! 16 4" xfId="2456" xr:uid="{00000000-0005-0000-0000-0000BD090000}"/>
    <cellStyle name="Bemærk! 16 5" xfId="2457" xr:uid="{00000000-0005-0000-0000-0000BE090000}"/>
    <cellStyle name="Bemærk! 16 6" xfId="2458" xr:uid="{00000000-0005-0000-0000-0000BF090000}"/>
    <cellStyle name="Bemærk! 17" xfId="2459" xr:uid="{00000000-0005-0000-0000-0000C0090000}"/>
    <cellStyle name="Bemærk! 17 2" xfId="2460" xr:uid="{00000000-0005-0000-0000-0000C1090000}"/>
    <cellStyle name="Bemærk! 17 2 2" xfId="2461" xr:uid="{00000000-0005-0000-0000-0000C2090000}"/>
    <cellStyle name="Bemærk! 17 2 3" xfId="2462" xr:uid="{00000000-0005-0000-0000-0000C3090000}"/>
    <cellStyle name="Bemærk! 17 2 4" xfId="2463" xr:uid="{00000000-0005-0000-0000-0000C4090000}"/>
    <cellStyle name="Bemærk! 17 2 5" xfId="2464" xr:uid="{00000000-0005-0000-0000-0000C5090000}"/>
    <cellStyle name="Bemærk! 17 3" xfId="2465" xr:uid="{00000000-0005-0000-0000-0000C6090000}"/>
    <cellStyle name="Bemærk! 17 4" xfId="2466" xr:uid="{00000000-0005-0000-0000-0000C7090000}"/>
    <cellStyle name="Bemærk! 17 5" xfId="2467" xr:uid="{00000000-0005-0000-0000-0000C8090000}"/>
    <cellStyle name="Bemærk! 17 6" xfId="2468" xr:uid="{00000000-0005-0000-0000-0000C9090000}"/>
    <cellStyle name="Bemærk! 18" xfId="2469" xr:uid="{00000000-0005-0000-0000-0000CA090000}"/>
    <cellStyle name="Bemærk! 18 2" xfId="2470" xr:uid="{00000000-0005-0000-0000-0000CB090000}"/>
    <cellStyle name="Bemærk! 18 2 2" xfId="2471" xr:uid="{00000000-0005-0000-0000-0000CC090000}"/>
    <cellStyle name="Bemærk! 18 2 3" xfId="2472" xr:uid="{00000000-0005-0000-0000-0000CD090000}"/>
    <cellStyle name="Bemærk! 18 2 4" xfId="2473" xr:uid="{00000000-0005-0000-0000-0000CE090000}"/>
    <cellStyle name="Bemærk! 18 2 5" xfId="2474" xr:uid="{00000000-0005-0000-0000-0000CF090000}"/>
    <cellStyle name="Bemærk! 18 3" xfId="2475" xr:uid="{00000000-0005-0000-0000-0000D0090000}"/>
    <cellStyle name="Bemærk! 18 4" xfId="2476" xr:uid="{00000000-0005-0000-0000-0000D1090000}"/>
    <cellStyle name="Bemærk! 18 5" xfId="2477" xr:uid="{00000000-0005-0000-0000-0000D2090000}"/>
    <cellStyle name="Bemærk! 18 6" xfId="2478" xr:uid="{00000000-0005-0000-0000-0000D3090000}"/>
    <cellStyle name="Bemærk! 19" xfId="2479" xr:uid="{00000000-0005-0000-0000-0000D4090000}"/>
    <cellStyle name="Bemærk! 19 2" xfId="2480" xr:uid="{00000000-0005-0000-0000-0000D5090000}"/>
    <cellStyle name="Bemærk! 19 3" xfId="2481" xr:uid="{00000000-0005-0000-0000-0000D6090000}"/>
    <cellStyle name="Bemærk! 19 4" xfId="2482" xr:uid="{00000000-0005-0000-0000-0000D7090000}"/>
    <cellStyle name="Bemærk! 19 5" xfId="2483" xr:uid="{00000000-0005-0000-0000-0000D8090000}"/>
    <cellStyle name="Bemærk! 2" xfId="2484" xr:uid="{00000000-0005-0000-0000-0000D9090000}"/>
    <cellStyle name="Bemærk! 2 2" xfId="2485" xr:uid="{00000000-0005-0000-0000-0000DA090000}"/>
    <cellStyle name="Bemærk! 2 2 2" xfId="2486" xr:uid="{00000000-0005-0000-0000-0000DB090000}"/>
    <cellStyle name="Bemærk! 2 2 3" xfId="2487" xr:uid="{00000000-0005-0000-0000-0000DC090000}"/>
    <cellStyle name="Bemærk! 2 2 4" xfId="2488" xr:uid="{00000000-0005-0000-0000-0000DD090000}"/>
    <cellStyle name="Bemærk! 2 2 5" xfId="2489" xr:uid="{00000000-0005-0000-0000-0000DE090000}"/>
    <cellStyle name="Bemærk! 2 3" xfId="2490" xr:uid="{00000000-0005-0000-0000-0000DF090000}"/>
    <cellStyle name="Bemærk! 2 4" xfId="2491" xr:uid="{00000000-0005-0000-0000-0000E0090000}"/>
    <cellStyle name="Bemærk! 2 5" xfId="2492" xr:uid="{00000000-0005-0000-0000-0000E1090000}"/>
    <cellStyle name="Bemærk! 2 6" xfId="2493" xr:uid="{00000000-0005-0000-0000-0000E2090000}"/>
    <cellStyle name="Bemærk! 20" xfId="2494" xr:uid="{00000000-0005-0000-0000-0000E3090000}"/>
    <cellStyle name="Bemærk! 21" xfId="2495" xr:uid="{00000000-0005-0000-0000-0000E4090000}"/>
    <cellStyle name="Bemærk! 22" xfId="2496" xr:uid="{00000000-0005-0000-0000-0000E5090000}"/>
    <cellStyle name="Bemærk! 23" xfId="2497" xr:uid="{00000000-0005-0000-0000-0000E6090000}"/>
    <cellStyle name="Bemærk! 3" xfId="2498" xr:uid="{00000000-0005-0000-0000-0000E7090000}"/>
    <cellStyle name="Bemærk! 3 2" xfId="2499" xr:uid="{00000000-0005-0000-0000-0000E8090000}"/>
    <cellStyle name="Bemærk! 3 2 2" xfId="2500" xr:uid="{00000000-0005-0000-0000-0000E9090000}"/>
    <cellStyle name="Bemærk! 3 2 3" xfId="2501" xr:uid="{00000000-0005-0000-0000-0000EA090000}"/>
    <cellStyle name="Bemærk! 3 2 4" xfId="2502" xr:uid="{00000000-0005-0000-0000-0000EB090000}"/>
    <cellStyle name="Bemærk! 3 2 5" xfId="2503" xr:uid="{00000000-0005-0000-0000-0000EC090000}"/>
    <cellStyle name="Bemærk! 3 3" xfId="2504" xr:uid="{00000000-0005-0000-0000-0000ED090000}"/>
    <cellStyle name="Bemærk! 3 4" xfId="2505" xr:uid="{00000000-0005-0000-0000-0000EE090000}"/>
    <cellStyle name="Bemærk! 3 5" xfId="2506" xr:uid="{00000000-0005-0000-0000-0000EF090000}"/>
    <cellStyle name="Bemærk! 3 6" xfId="2507" xr:uid="{00000000-0005-0000-0000-0000F0090000}"/>
    <cellStyle name="Bemærk! 4" xfId="2508" xr:uid="{00000000-0005-0000-0000-0000F1090000}"/>
    <cellStyle name="Bemærk! 4 2" xfId="2509" xr:uid="{00000000-0005-0000-0000-0000F2090000}"/>
    <cellStyle name="Bemærk! 4 2 2" xfId="2510" xr:uid="{00000000-0005-0000-0000-0000F3090000}"/>
    <cellStyle name="Bemærk! 4 2 3" xfId="2511" xr:uid="{00000000-0005-0000-0000-0000F4090000}"/>
    <cellStyle name="Bemærk! 4 2 4" xfId="2512" xr:uid="{00000000-0005-0000-0000-0000F5090000}"/>
    <cellStyle name="Bemærk! 4 2 5" xfId="2513" xr:uid="{00000000-0005-0000-0000-0000F6090000}"/>
    <cellStyle name="Bemærk! 4 3" xfId="2514" xr:uid="{00000000-0005-0000-0000-0000F7090000}"/>
    <cellStyle name="Bemærk! 4 4" xfId="2515" xr:uid="{00000000-0005-0000-0000-0000F8090000}"/>
    <cellStyle name="Bemærk! 4 5" xfId="2516" xr:uid="{00000000-0005-0000-0000-0000F9090000}"/>
    <cellStyle name="Bemærk! 4 6" xfId="2517" xr:uid="{00000000-0005-0000-0000-0000FA090000}"/>
    <cellStyle name="Bemærk! 5" xfId="2518" xr:uid="{00000000-0005-0000-0000-0000FB090000}"/>
    <cellStyle name="Bemærk! 5 2" xfId="2519" xr:uid="{00000000-0005-0000-0000-0000FC090000}"/>
    <cellStyle name="Bemærk! 5 2 2" xfId="2520" xr:uid="{00000000-0005-0000-0000-0000FD090000}"/>
    <cellStyle name="Bemærk! 5 2 3" xfId="2521" xr:uid="{00000000-0005-0000-0000-0000FE090000}"/>
    <cellStyle name="Bemærk! 5 2 4" xfId="2522" xr:uid="{00000000-0005-0000-0000-0000FF090000}"/>
    <cellStyle name="Bemærk! 5 2 5" xfId="2523" xr:uid="{00000000-0005-0000-0000-0000000A0000}"/>
    <cellStyle name="Bemærk! 5 3" xfId="2524" xr:uid="{00000000-0005-0000-0000-0000010A0000}"/>
    <cellStyle name="Bemærk! 5 4" xfId="2525" xr:uid="{00000000-0005-0000-0000-0000020A0000}"/>
    <cellStyle name="Bemærk! 5 5" xfId="2526" xr:uid="{00000000-0005-0000-0000-0000030A0000}"/>
    <cellStyle name="Bemærk! 5 6" xfId="2527" xr:uid="{00000000-0005-0000-0000-0000040A0000}"/>
    <cellStyle name="Bemærk! 6" xfId="2528" xr:uid="{00000000-0005-0000-0000-0000050A0000}"/>
    <cellStyle name="Bemærk! 6 2" xfId="2529" xr:uid="{00000000-0005-0000-0000-0000060A0000}"/>
    <cellStyle name="Bemærk! 6 2 2" xfId="2530" xr:uid="{00000000-0005-0000-0000-0000070A0000}"/>
    <cellStyle name="Bemærk! 6 2 3" xfId="2531" xr:uid="{00000000-0005-0000-0000-0000080A0000}"/>
    <cellStyle name="Bemærk! 6 2 4" xfId="2532" xr:uid="{00000000-0005-0000-0000-0000090A0000}"/>
    <cellStyle name="Bemærk! 6 2 5" xfId="2533" xr:uid="{00000000-0005-0000-0000-00000A0A0000}"/>
    <cellStyle name="Bemærk! 6 3" xfId="2534" xr:uid="{00000000-0005-0000-0000-00000B0A0000}"/>
    <cellStyle name="Bemærk! 6 4" xfId="2535" xr:uid="{00000000-0005-0000-0000-00000C0A0000}"/>
    <cellStyle name="Bemærk! 6 5" xfId="2536" xr:uid="{00000000-0005-0000-0000-00000D0A0000}"/>
    <cellStyle name="Bemærk! 6 6" xfId="2537" xr:uid="{00000000-0005-0000-0000-00000E0A0000}"/>
    <cellStyle name="Bemærk! 7" xfId="2538" xr:uid="{00000000-0005-0000-0000-00000F0A0000}"/>
    <cellStyle name="Bemærk! 7 2" xfId="2539" xr:uid="{00000000-0005-0000-0000-0000100A0000}"/>
    <cellStyle name="Bemærk! 7 2 2" xfId="2540" xr:uid="{00000000-0005-0000-0000-0000110A0000}"/>
    <cellStyle name="Bemærk! 7 2 3" xfId="2541" xr:uid="{00000000-0005-0000-0000-0000120A0000}"/>
    <cellStyle name="Bemærk! 7 2 4" xfId="2542" xr:uid="{00000000-0005-0000-0000-0000130A0000}"/>
    <cellStyle name="Bemærk! 7 2 5" xfId="2543" xr:uid="{00000000-0005-0000-0000-0000140A0000}"/>
    <cellStyle name="Bemærk! 7 3" xfId="2544" xr:uid="{00000000-0005-0000-0000-0000150A0000}"/>
    <cellStyle name="Bemærk! 7 4" xfId="2545" xr:uid="{00000000-0005-0000-0000-0000160A0000}"/>
    <cellStyle name="Bemærk! 7 5" xfId="2546" xr:uid="{00000000-0005-0000-0000-0000170A0000}"/>
    <cellStyle name="Bemærk! 7 6" xfId="2547" xr:uid="{00000000-0005-0000-0000-0000180A0000}"/>
    <cellStyle name="Bemærk! 8" xfId="2548" xr:uid="{00000000-0005-0000-0000-0000190A0000}"/>
    <cellStyle name="Bemærk! 8 2" xfId="2549" xr:uid="{00000000-0005-0000-0000-00001A0A0000}"/>
    <cellStyle name="Bemærk! 8 2 2" xfId="2550" xr:uid="{00000000-0005-0000-0000-00001B0A0000}"/>
    <cellStyle name="Bemærk! 8 2 3" xfId="2551" xr:uid="{00000000-0005-0000-0000-00001C0A0000}"/>
    <cellStyle name="Bemærk! 8 2 4" xfId="2552" xr:uid="{00000000-0005-0000-0000-00001D0A0000}"/>
    <cellStyle name="Bemærk! 8 2 5" xfId="2553" xr:uid="{00000000-0005-0000-0000-00001E0A0000}"/>
    <cellStyle name="Bemærk! 8 3" xfId="2554" xr:uid="{00000000-0005-0000-0000-00001F0A0000}"/>
    <cellStyle name="Bemærk! 8 4" xfId="2555" xr:uid="{00000000-0005-0000-0000-0000200A0000}"/>
    <cellStyle name="Bemærk! 8 5" xfId="2556" xr:uid="{00000000-0005-0000-0000-0000210A0000}"/>
    <cellStyle name="Bemærk! 8 6" xfId="2557" xr:uid="{00000000-0005-0000-0000-0000220A0000}"/>
    <cellStyle name="Bemærk! 9" xfId="2558" xr:uid="{00000000-0005-0000-0000-0000230A0000}"/>
    <cellStyle name="Bemærk! 9 2" xfId="2559" xr:uid="{00000000-0005-0000-0000-0000240A0000}"/>
    <cellStyle name="Bemærk! 9 2 2" xfId="2560" xr:uid="{00000000-0005-0000-0000-0000250A0000}"/>
    <cellStyle name="Bemærk! 9 2 3" xfId="2561" xr:uid="{00000000-0005-0000-0000-0000260A0000}"/>
    <cellStyle name="Bemærk! 9 2 4" xfId="2562" xr:uid="{00000000-0005-0000-0000-0000270A0000}"/>
    <cellStyle name="Bemærk! 9 2 5" xfId="2563" xr:uid="{00000000-0005-0000-0000-0000280A0000}"/>
    <cellStyle name="Bemærk! 9 3" xfId="2564" xr:uid="{00000000-0005-0000-0000-0000290A0000}"/>
    <cellStyle name="Bemærk! 9 4" xfId="2565" xr:uid="{00000000-0005-0000-0000-00002A0A0000}"/>
    <cellStyle name="Bemærk! 9 5" xfId="2566" xr:uid="{00000000-0005-0000-0000-00002B0A0000}"/>
    <cellStyle name="Bemærk! 9 6" xfId="2567" xr:uid="{00000000-0005-0000-0000-00002C0A0000}"/>
    <cellStyle name="Berechnung" xfId="2748" xr:uid="{00000000-0005-0000-0000-0000E20A0000}"/>
    <cellStyle name="Berechnung 2" xfId="2749" xr:uid="{00000000-0005-0000-0000-0000E30A0000}"/>
    <cellStyle name="Berechnung 3" xfId="2750" xr:uid="{00000000-0005-0000-0000-0000E40A0000}"/>
    <cellStyle name="Beregning" xfId="3304" xr:uid="{00000000-0005-0000-0000-0000E50A0000}"/>
    <cellStyle name="Beregning 10" xfId="2751" xr:uid="{00000000-0005-0000-0000-0000E60A0000}"/>
    <cellStyle name="Beregning 10 2" xfId="2752" xr:uid="{00000000-0005-0000-0000-0000E70A0000}"/>
    <cellStyle name="Beregning 10 2 2" xfId="2753" xr:uid="{00000000-0005-0000-0000-0000E80A0000}"/>
    <cellStyle name="Beregning 10 2 3" xfId="2754" xr:uid="{00000000-0005-0000-0000-0000E90A0000}"/>
    <cellStyle name="Beregning 10 2 4" xfId="2755" xr:uid="{00000000-0005-0000-0000-0000EA0A0000}"/>
    <cellStyle name="Beregning 10 2 5" xfId="2756" xr:uid="{00000000-0005-0000-0000-0000EB0A0000}"/>
    <cellStyle name="Beregning 10 3" xfId="2757" xr:uid="{00000000-0005-0000-0000-0000EC0A0000}"/>
    <cellStyle name="Beregning 10 4" xfId="2758" xr:uid="{00000000-0005-0000-0000-0000ED0A0000}"/>
    <cellStyle name="Beregning 10 5" xfId="2759" xr:uid="{00000000-0005-0000-0000-0000EE0A0000}"/>
    <cellStyle name="Beregning 10 6" xfId="2760" xr:uid="{00000000-0005-0000-0000-0000EF0A0000}"/>
    <cellStyle name="Beregning 11" xfId="2761" xr:uid="{00000000-0005-0000-0000-0000F00A0000}"/>
    <cellStyle name="Beregning 11 2" xfId="2762" xr:uid="{00000000-0005-0000-0000-0000F10A0000}"/>
    <cellStyle name="Beregning 11 2 2" xfId="2763" xr:uid="{00000000-0005-0000-0000-0000F20A0000}"/>
    <cellStyle name="Beregning 11 2 3" xfId="2764" xr:uid="{00000000-0005-0000-0000-0000F30A0000}"/>
    <cellStyle name="Beregning 11 2 4" xfId="2765" xr:uid="{00000000-0005-0000-0000-0000F40A0000}"/>
    <cellStyle name="Beregning 11 2 5" xfId="2766" xr:uid="{00000000-0005-0000-0000-0000F50A0000}"/>
    <cellStyle name="Beregning 11 3" xfId="2767" xr:uid="{00000000-0005-0000-0000-0000F60A0000}"/>
    <cellStyle name="Beregning 11 4" xfId="2768" xr:uid="{00000000-0005-0000-0000-0000F70A0000}"/>
    <cellStyle name="Beregning 11 5" xfId="2769" xr:uid="{00000000-0005-0000-0000-0000F80A0000}"/>
    <cellStyle name="Beregning 11 6" xfId="2770" xr:uid="{00000000-0005-0000-0000-0000F90A0000}"/>
    <cellStyle name="Beregning 12" xfId="2771" xr:uid="{00000000-0005-0000-0000-0000FA0A0000}"/>
    <cellStyle name="Beregning 12 2" xfId="2772" xr:uid="{00000000-0005-0000-0000-0000FB0A0000}"/>
    <cellStyle name="Beregning 12 2 2" xfId="2773" xr:uid="{00000000-0005-0000-0000-0000FC0A0000}"/>
    <cellStyle name="Beregning 12 2 3" xfId="2774" xr:uid="{00000000-0005-0000-0000-0000FD0A0000}"/>
    <cellStyle name="Beregning 12 2 4" xfId="2775" xr:uid="{00000000-0005-0000-0000-0000FE0A0000}"/>
    <cellStyle name="Beregning 12 2 5" xfId="2776" xr:uid="{00000000-0005-0000-0000-0000FF0A0000}"/>
    <cellStyle name="Beregning 12 3" xfId="2777" xr:uid="{00000000-0005-0000-0000-0000000B0000}"/>
    <cellStyle name="Beregning 12 4" xfId="2778" xr:uid="{00000000-0005-0000-0000-0000010B0000}"/>
    <cellStyle name="Beregning 12 5" xfId="2779" xr:uid="{00000000-0005-0000-0000-0000020B0000}"/>
    <cellStyle name="Beregning 12 6" xfId="2780" xr:uid="{00000000-0005-0000-0000-0000030B0000}"/>
    <cellStyle name="Beregning 13" xfId="2781" xr:uid="{00000000-0005-0000-0000-0000040B0000}"/>
    <cellStyle name="Beregning 13 2" xfId="2782" xr:uid="{00000000-0005-0000-0000-0000050B0000}"/>
    <cellStyle name="Beregning 13 2 2" xfId="2783" xr:uid="{00000000-0005-0000-0000-0000060B0000}"/>
    <cellStyle name="Beregning 13 2 3" xfId="2784" xr:uid="{00000000-0005-0000-0000-0000070B0000}"/>
    <cellStyle name="Beregning 13 2 4" xfId="2785" xr:uid="{00000000-0005-0000-0000-0000080B0000}"/>
    <cellStyle name="Beregning 13 2 5" xfId="2786" xr:uid="{00000000-0005-0000-0000-0000090B0000}"/>
    <cellStyle name="Beregning 13 3" xfId="2787" xr:uid="{00000000-0005-0000-0000-00000A0B0000}"/>
    <cellStyle name="Beregning 13 4" xfId="2788" xr:uid="{00000000-0005-0000-0000-00000B0B0000}"/>
    <cellStyle name="Beregning 13 5" xfId="2789" xr:uid="{00000000-0005-0000-0000-00000C0B0000}"/>
    <cellStyle name="Beregning 13 6" xfId="2790" xr:uid="{00000000-0005-0000-0000-00000D0B0000}"/>
    <cellStyle name="Beregning 14" xfId="2791" xr:uid="{00000000-0005-0000-0000-00000E0B0000}"/>
    <cellStyle name="Beregning 14 2" xfId="2792" xr:uid="{00000000-0005-0000-0000-00000F0B0000}"/>
    <cellStyle name="Beregning 14 2 2" xfId="2793" xr:uid="{00000000-0005-0000-0000-0000100B0000}"/>
    <cellStyle name="Beregning 14 2 3" xfId="2794" xr:uid="{00000000-0005-0000-0000-0000110B0000}"/>
    <cellStyle name="Beregning 14 2 4" xfId="2795" xr:uid="{00000000-0005-0000-0000-0000120B0000}"/>
    <cellStyle name="Beregning 14 2 5" xfId="2796" xr:uid="{00000000-0005-0000-0000-0000130B0000}"/>
    <cellStyle name="Beregning 14 3" xfId="2797" xr:uid="{00000000-0005-0000-0000-0000140B0000}"/>
    <cellStyle name="Beregning 14 4" xfId="2798" xr:uid="{00000000-0005-0000-0000-0000150B0000}"/>
    <cellStyle name="Beregning 14 5" xfId="2799" xr:uid="{00000000-0005-0000-0000-0000160B0000}"/>
    <cellStyle name="Beregning 14 6" xfId="2800" xr:uid="{00000000-0005-0000-0000-0000170B0000}"/>
    <cellStyle name="Beregning 15" xfId="2801" xr:uid="{00000000-0005-0000-0000-0000180B0000}"/>
    <cellStyle name="Beregning 15 2" xfId="2802" xr:uid="{00000000-0005-0000-0000-0000190B0000}"/>
    <cellStyle name="Beregning 15 2 2" xfId="2803" xr:uid="{00000000-0005-0000-0000-00001A0B0000}"/>
    <cellStyle name="Beregning 15 2 3" xfId="2804" xr:uid="{00000000-0005-0000-0000-00001B0B0000}"/>
    <cellStyle name="Beregning 15 2 4" xfId="2805" xr:uid="{00000000-0005-0000-0000-00001C0B0000}"/>
    <cellStyle name="Beregning 15 2 5" xfId="2806" xr:uid="{00000000-0005-0000-0000-00001D0B0000}"/>
    <cellStyle name="Beregning 15 3" xfId="2807" xr:uid="{00000000-0005-0000-0000-00001E0B0000}"/>
    <cellStyle name="Beregning 15 4" xfId="2808" xr:uid="{00000000-0005-0000-0000-00001F0B0000}"/>
    <cellStyle name="Beregning 15 5" xfId="2809" xr:uid="{00000000-0005-0000-0000-0000200B0000}"/>
    <cellStyle name="Beregning 15 6" xfId="2810" xr:uid="{00000000-0005-0000-0000-0000210B0000}"/>
    <cellStyle name="Beregning 16" xfId="2811" xr:uid="{00000000-0005-0000-0000-0000220B0000}"/>
    <cellStyle name="Beregning 16 2" xfId="2812" xr:uid="{00000000-0005-0000-0000-0000230B0000}"/>
    <cellStyle name="Beregning 16 2 2" xfId="2813" xr:uid="{00000000-0005-0000-0000-0000240B0000}"/>
    <cellStyle name="Beregning 16 2 3" xfId="2814" xr:uid="{00000000-0005-0000-0000-0000250B0000}"/>
    <cellStyle name="Beregning 16 2 4" xfId="2815" xr:uid="{00000000-0005-0000-0000-0000260B0000}"/>
    <cellStyle name="Beregning 16 2 5" xfId="2816" xr:uid="{00000000-0005-0000-0000-0000270B0000}"/>
    <cellStyle name="Beregning 16 3" xfId="2817" xr:uid="{00000000-0005-0000-0000-0000280B0000}"/>
    <cellStyle name="Beregning 16 4" xfId="2818" xr:uid="{00000000-0005-0000-0000-0000290B0000}"/>
    <cellStyle name="Beregning 16 5" xfId="2819" xr:uid="{00000000-0005-0000-0000-00002A0B0000}"/>
    <cellStyle name="Beregning 16 6" xfId="2820" xr:uid="{00000000-0005-0000-0000-00002B0B0000}"/>
    <cellStyle name="Beregning 17" xfId="2821" xr:uid="{00000000-0005-0000-0000-00002C0B0000}"/>
    <cellStyle name="Beregning 17 2" xfId="2822" xr:uid="{00000000-0005-0000-0000-00002D0B0000}"/>
    <cellStyle name="Beregning 17 2 2" xfId="2823" xr:uid="{00000000-0005-0000-0000-00002E0B0000}"/>
    <cellStyle name="Beregning 17 2 3" xfId="2824" xr:uid="{00000000-0005-0000-0000-00002F0B0000}"/>
    <cellStyle name="Beregning 17 2 4" xfId="2825" xr:uid="{00000000-0005-0000-0000-0000300B0000}"/>
    <cellStyle name="Beregning 17 2 5" xfId="2826" xr:uid="{00000000-0005-0000-0000-0000310B0000}"/>
    <cellStyle name="Beregning 17 3" xfId="2827" xr:uid="{00000000-0005-0000-0000-0000320B0000}"/>
    <cellStyle name="Beregning 17 4" xfId="2828" xr:uid="{00000000-0005-0000-0000-0000330B0000}"/>
    <cellStyle name="Beregning 17 5" xfId="2829" xr:uid="{00000000-0005-0000-0000-0000340B0000}"/>
    <cellStyle name="Beregning 17 6" xfId="2830" xr:uid="{00000000-0005-0000-0000-0000350B0000}"/>
    <cellStyle name="Beregning 18" xfId="2831" xr:uid="{00000000-0005-0000-0000-0000360B0000}"/>
    <cellStyle name="Beregning 18 2" xfId="2832" xr:uid="{00000000-0005-0000-0000-0000370B0000}"/>
    <cellStyle name="Beregning 18 2 2" xfId="2833" xr:uid="{00000000-0005-0000-0000-0000380B0000}"/>
    <cellStyle name="Beregning 18 2 3" xfId="2834" xr:uid="{00000000-0005-0000-0000-0000390B0000}"/>
    <cellStyle name="Beregning 18 2 4" xfId="2835" xr:uid="{00000000-0005-0000-0000-00003A0B0000}"/>
    <cellStyle name="Beregning 18 2 5" xfId="2836" xr:uid="{00000000-0005-0000-0000-00003B0B0000}"/>
    <cellStyle name="Beregning 18 3" xfId="2837" xr:uid="{00000000-0005-0000-0000-00003C0B0000}"/>
    <cellStyle name="Beregning 18 4" xfId="2838" xr:uid="{00000000-0005-0000-0000-00003D0B0000}"/>
    <cellStyle name="Beregning 18 5" xfId="2839" xr:uid="{00000000-0005-0000-0000-00003E0B0000}"/>
    <cellStyle name="Beregning 18 6" xfId="2840" xr:uid="{00000000-0005-0000-0000-00003F0B0000}"/>
    <cellStyle name="Beregning 19" xfId="2841" xr:uid="{00000000-0005-0000-0000-0000400B0000}"/>
    <cellStyle name="Beregning 19 2" xfId="2842" xr:uid="{00000000-0005-0000-0000-0000410B0000}"/>
    <cellStyle name="Beregning 19 3" xfId="2843" xr:uid="{00000000-0005-0000-0000-0000420B0000}"/>
    <cellStyle name="Beregning 19 4" xfId="2844" xr:uid="{00000000-0005-0000-0000-0000430B0000}"/>
    <cellStyle name="Beregning 19 5" xfId="2845" xr:uid="{00000000-0005-0000-0000-0000440B0000}"/>
    <cellStyle name="Beregning 2" xfId="2846" xr:uid="{00000000-0005-0000-0000-0000450B0000}"/>
    <cellStyle name="Beregning 2 2" xfId="2847" xr:uid="{00000000-0005-0000-0000-0000460B0000}"/>
    <cellStyle name="Beregning 2 2 2" xfId="2848" xr:uid="{00000000-0005-0000-0000-0000470B0000}"/>
    <cellStyle name="Beregning 2 2 3" xfId="2849" xr:uid="{00000000-0005-0000-0000-0000480B0000}"/>
    <cellStyle name="Beregning 2 2 4" xfId="2850" xr:uid="{00000000-0005-0000-0000-0000490B0000}"/>
    <cellStyle name="Beregning 2 2 5" xfId="2851" xr:uid="{00000000-0005-0000-0000-00004A0B0000}"/>
    <cellStyle name="Beregning 2 3" xfId="2852" xr:uid="{00000000-0005-0000-0000-00004B0B0000}"/>
    <cellStyle name="Beregning 2 4" xfId="2853" xr:uid="{00000000-0005-0000-0000-00004C0B0000}"/>
    <cellStyle name="Beregning 2 5" xfId="2854" xr:uid="{00000000-0005-0000-0000-00004D0B0000}"/>
    <cellStyle name="Beregning 2 6" xfId="2855" xr:uid="{00000000-0005-0000-0000-00004E0B0000}"/>
    <cellStyle name="Beregning 20" xfId="2856" xr:uid="{00000000-0005-0000-0000-00004F0B0000}"/>
    <cellStyle name="Beregning 21" xfId="2857" xr:uid="{00000000-0005-0000-0000-0000500B0000}"/>
    <cellStyle name="Beregning 22" xfId="2858" xr:uid="{00000000-0005-0000-0000-0000510B0000}"/>
    <cellStyle name="Beregning 23" xfId="2859" xr:uid="{00000000-0005-0000-0000-0000520B0000}"/>
    <cellStyle name="Beregning 3" xfId="2860" xr:uid="{00000000-0005-0000-0000-0000530B0000}"/>
    <cellStyle name="Beregning 3 2" xfId="2861" xr:uid="{00000000-0005-0000-0000-0000540B0000}"/>
    <cellStyle name="Beregning 3 2 2" xfId="2862" xr:uid="{00000000-0005-0000-0000-0000550B0000}"/>
    <cellStyle name="Beregning 3 2 3" xfId="2863" xr:uid="{00000000-0005-0000-0000-0000560B0000}"/>
    <cellStyle name="Beregning 3 2 4" xfId="2864" xr:uid="{00000000-0005-0000-0000-0000570B0000}"/>
    <cellStyle name="Beregning 3 2 5" xfId="2865" xr:uid="{00000000-0005-0000-0000-0000580B0000}"/>
    <cellStyle name="Beregning 3 3" xfId="2866" xr:uid="{00000000-0005-0000-0000-0000590B0000}"/>
    <cellStyle name="Beregning 3 4" xfId="2867" xr:uid="{00000000-0005-0000-0000-00005A0B0000}"/>
    <cellStyle name="Beregning 3 5" xfId="2868" xr:uid="{00000000-0005-0000-0000-00005B0B0000}"/>
    <cellStyle name="Beregning 3 6" xfId="2869" xr:uid="{00000000-0005-0000-0000-00005C0B0000}"/>
    <cellStyle name="Beregning 4" xfId="2870" xr:uid="{00000000-0005-0000-0000-00005D0B0000}"/>
    <cellStyle name="Beregning 4 2" xfId="2871" xr:uid="{00000000-0005-0000-0000-00005E0B0000}"/>
    <cellStyle name="Beregning 4 2 2" xfId="2872" xr:uid="{00000000-0005-0000-0000-00005F0B0000}"/>
    <cellStyle name="Beregning 4 2 3" xfId="2873" xr:uid="{00000000-0005-0000-0000-0000600B0000}"/>
    <cellStyle name="Beregning 4 2 4" xfId="2874" xr:uid="{00000000-0005-0000-0000-0000610B0000}"/>
    <cellStyle name="Beregning 4 2 5" xfId="2875" xr:uid="{00000000-0005-0000-0000-0000620B0000}"/>
    <cellStyle name="Beregning 4 3" xfId="2876" xr:uid="{00000000-0005-0000-0000-0000630B0000}"/>
    <cellStyle name="Beregning 4 4" xfId="2877" xr:uid="{00000000-0005-0000-0000-0000640B0000}"/>
    <cellStyle name="Beregning 4 5" xfId="2878" xr:uid="{00000000-0005-0000-0000-0000650B0000}"/>
    <cellStyle name="Beregning 4 6" xfId="2879" xr:uid="{00000000-0005-0000-0000-0000660B0000}"/>
    <cellStyle name="Beregning 5" xfId="2880" xr:uid="{00000000-0005-0000-0000-0000670B0000}"/>
    <cellStyle name="Beregning 5 2" xfId="2881" xr:uid="{00000000-0005-0000-0000-0000680B0000}"/>
    <cellStyle name="Beregning 5 2 2" xfId="2882" xr:uid="{00000000-0005-0000-0000-0000690B0000}"/>
    <cellStyle name="Beregning 5 2 3" xfId="2883" xr:uid="{00000000-0005-0000-0000-00006A0B0000}"/>
    <cellStyle name="Beregning 5 2 4" xfId="2884" xr:uid="{00000000-0005-0000-0000-00006B0B0000}"/>
    <cellStyle name="Beregning 5 2 5" xfId="2885" xr:uid="{00000000-0005-0000-0000-00006C0B0000}"/>
    <cellStyle name="Beregning 5 3" xfId="2886" xr:uid="{00000000-0005-0000-0000-00006D0B0000}"/>
    <cellStyle name="Beregning 5 4" xfId="2887" xr:uid="{00000000-0005-0000-0000-00006E0B0000}"/>
    <cellStyle name="Beregning 5 5" xfId="2888" xr:uid="{00000000-0005-0000-0000-00006F0B0000}"/>
    <cellStyle name="Beregning 5 6" xfId="2889" xr:uid="{00000000-0005-0000-0000-0000700B0000}"/>
    <cellStyle name="Beregning 6" xfId="2890" xr:uid="{00000000-0005-0000-0000-0000710B0000}"/>
    <cellStyle name="Beregning 6 2" xfId="2891" xr:uid="{00000000-0005-0000-0000-0000720B0000}"/>
    <cellStyle name="Beregning 6 2 2" xfId="2892" xr:uid="{00000000-0005-0000-0000-0000730B0000}"/>
    <cellStyle name="Beregning 6 2 3" xfId="2893" xr:uid="{00000000-0005-0000-0000-0000740B0000}"/>
    <cellStyle name="Beregning 6 2 4" xfId="2894" xr:uid="{00000000-0005-0000-0000-0000750B0000}"/>
    <cellStyle name="Beregning 6 2 5" xfId="2895" xr:uid="{00000000-0005-0000-0000-0000760B0000}"/>
    <cellStyle name="Beregning 6 3" xfId="2896" xr:uid="{00000000-0005-0000-0000-0000770B0000}"/>
    <cellStyle name="Beregning 6 4" xfId="2897" xr:uid="{00000000-0005-0000-0000-0000780B0000}"/>
    <cellStyle name="Beregning 6 5" xfId="2898" xr:uid="{00000000-0005-0000-0000-0000790B0000}"/>
    <cellStyle name="Beregning 6 6" xfId="2899" xr:uid="{00000000-0005-0000-0000-00007A0B0000}"/>
    <cellStyle name="Beregning 7" xfId="2900" xr:uid="{00000000-0005-0000-0000-00007B0B0000}"/>
    <cellStyle name="Beregning 7 2" xfId="2901" xr:uid="{00000000-0005-0000-0000-00007C0B0000}"/>
    <cellStyle name="Beregning 7 2 2" xfId="2902" xr:uid="{00000000-0005-0000-0000-00007D0B0000}"/>
    <cellStyle name="Beregning 7 2 3" xfId="2903" xr:uid="{00000000-0005-0000-0000-00007E0B0000}"/>
    <cellStyle name="Beregning 7 2 4" xfId="2904" xr:uid="{00000000-0005-0000-0000-00007F0B0000}"/>
    <cellStyle name="Beregning 7 2 5" xfId="2905" xr:uid="{00000000-0005-0000-0000-0000800B0000}"/>
    <cellStyle name="Beregning 7 3" xfId="2906" xr:uid="{00000000-0005-0000-0000-0000810B0000}"/>
    <cellStyle name="Beregning 7 4" xfId="2907" xr:uid="{00000000-0005-0000-0000-0000820B0000}"/>
    <cellStyle name="Beregning 7 5" xfId="2908" xr:uid="{00000000-0005-0000-0000-0000830B0000}"/>
    <cellStyle name="Beregning 7 6" xfId="2909" xr:uid="{00000000-0005-0000-0000-0000840B0000}"/>
    <cellStyle name="Beregning 8" xfId="2910" xr:uid="{00000000-0005-0000-0000-0000850B0000}"/>
    <cellStyle name="Beregning 8 2" xfId="2911" xr:uid="{00000000-0005-0000-0000-0000860B0000}"/>
    <cellStyle name="Beregning 8 2 2" xfId="2912" xr:uid="{00000000-0005-0000-0000-0000870B0000}"/>
    <cellStyle name="Beregning 8 2 3" xfId="2913" xr:uid="{00000000-0005-0000-0000-0000880B0000}"/>
    <cellStyle name="Beregning 8 2 4" xfId="2914" xr:uid="{00000000-0005-0000-0000-0000890B0000}"/>
    <cellStyle name="Beregning 8 2 5" xfId="2915" xr:uid="{00000000-0005-0000-0000-00008A0B0000}"/>
    <cellStyle name="Beregning 8 3" xfId="2916" xr:uid="{00000000-0005-0000-0000-00008B0B0000}"/>
    <cellStyle name="Beregning 8 4" xfId="2917" xr:uid="{00000000-0005-0000-0000-00008C0B0000}"/>
    <cellStyle name="Beregning 8 5" xfId="2918" xr:uid="{00000000-0005-0000-0000-00008D0B0000}"/>
    <cellStyle name="Beregning 8 6" xfId="2919" xr:uid="{00000000-0005-0000-0000-00008E0B0000}"/>
    <cellStyle name="Beregning 9" xfId="2920" xr:uid="{00000000-0005-0000-0000-00008F0B0000}"/>
    <cellStyle name="Beregning 9 2" xfId="2921" xr:uid="{00000000-0005-0000-0000-0000900B0000}"/>
    <cellStyle name="Beregning 9 2 2" xfId="2922" xr:uid="{00000000-0005-0000-0000-0000910B0000}"/>
    <cellStyle name="Beregning 9 2 3" xfId="2923" xr:uid="{00000000-0005-0000-0000-0000920B0000}"/>
    <cellStyle name="Beregning 9 2 4" xfId="2924" xr:uid="{00000000-0005-0000-0000-0000930B0000}"/>
    <cellStyle name="Beregning 9 2 5" xfId="2925" xr:uid="{00000000-0005-0000-0000-0000940B0000}"/>
    <cellStyle name="Beregning 9 3" xfId="2926" xr:uid="{00000000-0005-0000-0000-0000950B0000}"/>
    <cellStyle name="Beregning 9 4" xfId="2927" xr:uid="{00000000-0005-0000-0000-0000960B0000}"/>
    <cellStyle name="Beregning 9 5" xfId="2928" xr:uid="{00000000-0005-0000-0000-0000970B0000}"/>
    <cellStyle name="Beregning 9 6" xfId="2929" xr:uid="{00000000-0005-0000-0000-0000980B0000}"/>
    <cellStyle name="Beräkning" xfId="2568" xr:uid="{00000000-0005-0000-0000-00002D0A0000}"/>
    <cellStyle name="Beräkning 10" xfId="2569" xr:uid="{00000000-0005-0000-0000-00002E0A0000}"/>
    <cellStyle name="Beräkning 10 2" xfId="2570" xr:uid="{00000000-0005-0000-0000-00002F0A0000}"/>
    <cellStyle name="Beräkning 10 2 2" xfId="2571" xr:uid="{00000000-0005-0000-0000-0000300A0000}"/>
    <cellStyle name="Beräkning 10 2 3" xfId="2572" xr:uid="{00000000-0005-0000-0000-0000310A0000}"/>
    <cellStyle name="Beräkning 10 2 4" xfId="2573" xr:uid="{00000000-0005-0000-0000-0000320A0000}"/>
    <cellStyle name="Beräkning 10 2 5" xfId="2574" xr:uid="{00000000-0005-0000-0000-0000330A0000}"/>
    <cellStyle name="Beräkning 10 3" xfId="2575" xr:uid="{00000000-0005-0000-0000-0000340A0000}"/>
    <cellStyle name="Beräkning 10 4" xfId="2576" xr:uid="{00000000-0005-0000-0000-0000350A0000}"/>
    <cellStyle name="Beräkning 10 5" xfId="2577" xr:uid="{00000000-0005-0000-0000-0000360A0000}"/>
    <cellStyle name="Beräkning 10 6" xfId="2578" xr:uid="{00000000-0005-0000-0000-0000370A0000}"/>
    <cellStyle name="Beräkning 11" xfId="2579" xr:uid="{00000000-0005-0000-0000-0000380A0000}"/>
    <cellStyle name="Beräkning 11 2" xfId="2580" xr:uid="{00000000-0005-0000-0000-0000390A0000}"/>
    <cellStyle name="Beräkning 11 2 2" xfId="2581" xr:uid="{00000000-0005-0000-0000-00003A0A0000}"/>
    <cellStyle name="Beräkning 11 2 3" xfId="2582" xr:uid="{00000000-0005-0000-0000-00003B0A0000}"/>
    <cellStyle name="Beräkning 11 2 4" xfId="2583" xr:uid="{00000000-0005-0000-0000-00003C0A0000}"/>
    <cellStyle name="Beräkning 11 2 5" xfId="2584" xr:uid="{00000000-0005-0000-0000-00003D0A0000}"/>
    <cellStyle name="Beräkning 11 3" xfId="2585" xr:uid="{00000000-0005-0000-0000-00003E0A0000}"/>
    <cellStyle name="Beräkning 11 4" xfId="2586" xr:uid="{00000000-0005-0000-0000-00003F0A0000}"/>
    <cellStyle name="Beräkning 11 5" xfId="2587" xr:uid="{00000000-0005-0000-0000-0000400A0000}"/>
    <cellStyle name="Beräkning 11 6" xfId="2588" xr:uid="{00000000-0005-0000-0000-0000410A0000}"/>
    <cellStyle name="Beräkning 12" xfId="2589" xr:uid="{00000000-0005-0000-0000-0000420A0000}"/>
    <cellStyle name="Beräkning 12 2" xfId="2590" xr:uid="{00000000-0005-0000-0000-0000430A0000}"/>
    <cellStyle name="Beräkning 12 2 2" xfId="2591" xr:uid="{00000000-0005-0000-0000-0000440A0000}"/>
    <cellStyle name="Beräkning 12 2 3" xfId="2592" xr:uid="{00000000-0005-0000-0000-0000450A0000}"/>
    <cellStyle name="Beräkning 12 2 4" xfId="2593" xr:uid="{00000000-0005-0000-0000-0000460A0000}"/>
    <cellStyle name="Beräkning 12 2 5" xfId="2594" xr:uid="{00000000-0005-0000-0000-0000470A0000}"/>
    <cellStyle name="Beräkning 12 3" xfId="2595" xr:uid="{00000000-0005-0000-0000-0000480A0000}"/>
    <cellStyle name="Beräkning 12 4" xfId="2596" xr:uid="{00000000-0005-0000-0000-0000490A0000}"/>
    <cellStyle name="Beräkning 12 5" xfId="2597" xr:uid="{00000000-0005-0000-0000-00004A0A0000}"/>
    <cellStyle name="Beräkning 12 6" xfId="2598" xr:uid="{00000000-0005-0000-0000-00004B0A0000}"/>
    <cellStyle name="Beräkning 13" xfId="2599" xr:uid="{00000000-0005-0000-0000-00004C0A0000}"/>
    <cellStyle name="Beräkning 13 2" xfId="2600" xr:uid="{00000000-0005-0000-0000-00004D0A0000}"/>
    <cellStyle name="Beräkning 13 2 2" xfId="2601" xr:uid="{00000000-0005-0000-0000-00004E0A0000}"/>
    <cellStyle name="Beräkning 13 2 3" xfId="2602" xr:uid="{00000000-0005-0000-0000-00004F0A0000}"/>
    <cellStyle name="Beräkning 13 2 4" xfId="2603" xr:uid="{00000000-0005-0000-0000-0000500A0000}"/>
    <cellStyle name="Beräkning 13 2 5" xfId="2604" xr:uid="{00000000-0005-0000-0000-0000510A0000}"/>
    <cellStyle name="Beräkning 13 3" xfId="2605" xr:uid="{00000000-0005-0000-0000-0000520A0000}"/>
    <cellStyle name="Beräkning 13 4" xfId="2606" xr:uid="{00000000-0005-0000-0000-0000530A0000}"/>
    <cellStyle name="Beräkning 13 5" xfId="2607" xr:uid="{00000000-0005-0000-0000-0000540A0000}"/>
    <cellStyle name="Beräkning 13 6" xfId="2608" xr:uid="{00000000-0005-0000-0000-0000550A0000}"/>
    <cellStyle name="Beräkning 14" xfId="2609" xr:uid="{00000000-0005-0000-0000-0000560A0000}"/>
    <cellStyle name="Beräkning 14 2" xfId="2610" xr:uid="{00000000-0005-0000-0000-0000570A0000}"/>
    <cellStyle name="Beräkning 14 2 2" xfId="2611" xr:uid="{00000000-0005-0000-0000-0000580A0000}"/>
    <cellStyle name="Beräkning 14 2 3" xfId="2612" xr:uid="{00000000-0005-0000-0000-0000590A0000}"/>
    <cellStyle name="Beräkning 14 2 4" xfId="2613" xr:uid="{00000000-0005-0000-0000-00005A0A0000}"/>
    <cellStyle name="Beräkning 14 2 5" xfId="2614" xr:uid="{00000000-0005-0000-0000-00005B0A0000}"/>
    <cellStyle name="Beräkning 14 3" xfId="2615" xr:uid="{00000000-0005-0000-0000-00005C0A0000}"/>
    <cellStyle name="Beräkning 14 4" xfId="2616" xr:uid="{00000000-0005-0000-0000-00005D0A0000}"/>
    <cellStyle name="Beräkning 14 5" xfId="2617" xr:uid="{00000000-0005-0000-0000-00005E0A0000}"/>
    <cellStyle name="Beräkning 14 6" xfId="2618" xr:uid="{00000000-0005-0000-0000-00005F0A0000}"/>
    <cellStyle name="Beräkning 15" xfId="2619" xr:uid="{00000000-0005-0000-0000-0000600A0000}"/>
    <cellStyle name="Beräkning 15 2" xfId="2620" xr:uid="{00000000-0005-0000-0000-0000610A0000}"/>
    <cellStyle name="Beräkning 15 2 2" xfId="2621" xr:uid="{00000000-0005-0000-0000-0000620A0000}"/>
    <cellStyle name="Beräkning 15 2 3" xfId="2622" xr:uid="{00000000-0005-0000-0000-0000630A0000}"/>
    <cellStyle name="Beräkning 15 2 4" xfId="2623" xr:uid="{00000000-0005-0000-0000-0000640A0000}"/>
    <cellStyle name="Beräkning 15 2 5" xfId="2624" xr:uid="{00000000-0005-0000-0000-0000650A0000}"/>
    <cellStyle name="Beräkning 15 3" xfId="2625" xr:uid="{00000000-0005-0000-0000-0000660A0000}"/>
    <cellStyle name="Beräkning 15 4" xfId="2626" xr:uid="{00000000-0005-0000-0000-0000670A0000}"/>
    <cellStyle name="Beräkning 15 5" xfId="2627" xr:uid="{00000000-0005-0000-0000-0000680A0000}"/>
    <cellStyle name="Beräkning 15 6" xfId="2628" xr:uid="{00000000-0005-0000-0000-0000690A0000}"/>
    <cellStyle name="Beräkning 16" xfId="2629" xr:uid="{00000000-0005-0000-0000-00006A0A0000}"/>
    <cellStyle name="Beräkning 16 2" xfId="2630" xr:uid="{00000000-0005-0000-0000-00006B0A0000}"/>
    <cellStyle name="Beräkning 16 2 2" xfId="2631" xr:uid="{00000000-0005-0000-0000-00006C0A0000}"/>
    <cellStyle name="Beräkning 16 2 3" xfId="2632" xr:uid="{00000000-0005-0000-0000-00006D0A0000}"/>
    <cellStyle name="Beräkning 16 2 4" xfId="2633" xr:uid="{00000000-0005-0000-0000-00006E0A0000}"/>
    <cellStyle name="Beräkning 16 2 5" xfId="2634" xr:uid="{00000000-0005-0000-0000-00006F0A0000}"/>
    <cellStyle name="Beräkning 16 3" xfId="2635" xr:uid="{00000000-0005-0000-0000-0000700A0000}"/>
    <cellStyle name="Beräkning 16 4" xfId="2636" xr:uid="{00000000-0005-0000-0000-0000710A0000}"/>
    <cellStyle name="Beräkning 16 5" xfId="2637" xr:uid="{00000000-0005-0000-0000-0000720A0000}"/>
    <cellStyle name="Beräkning 16 6" xfId="2638" xr:uid="{00000000-0005-0000-0000-0000730A0000}"/>
    <cellStyle name="Beräkning 17" xfId="2639" xr:uid="{00000000-0005-0000-0000-0000740A0000}"/>
    <cellStyle name="Beräkning 17 2" xfId="2640" xr:uid="{00000000-0005-0000-0000-0000750A0000}"/>
    <cellStyle name="Beräkning 17 2 2" xfId="2641" xr:uid="{00000000-0005-0000-0000-0000760A0000}"/>
    <cellStyle name="Beräkning 17 2 3" xfId="2642" xr:uid="{00000000-0005-0000-0000-0000770A0000}"/>
    <cellStyle name="Beräkning 17 2 4" xfId="2643" xr:uid="{00000000-0005-0000-0000-0000780A0000}"/>
    <cellStyle name="Beräkning 17 2 5" xfId="2644" xr:uid="{00000000-0005-0000-0000-0000790A0000}"/>
    <cellStyle name="Beräkning 17 3" xfId="2645" xr:uid="{00000000-0005-0000-0000-00007A0A0000}"/>
    <cellStyle name="Beräkning 17 4" xfId="2646" xr:uid="{00000000-0005-0000-0000-00007B0A0000}"/>
    <cellStyle name="Beräkning 17 5" xfId="2647" xr:uid="{00000000-0005-0000-0000-00007C0A0000}"/>
    <cellStyle name="Beräkning 17 6" xfId="2648" xr:uid="{00000000-0005-0000-0000-00007D0A0000}"/>
    <cellStyle name="Beräkning 18" xfId="2649" xr:uid="{00000000-0005-0000-0000-00007E0A0000}"/>
    <cellStyle name="Beräkning 18 2" xfId="2650" xr:uid="{00000000-0005-0000-0000-00007F0A0000}"/>
    <cellStyle name="Beräkning 18 2 2" xfId="2651" xr:uid="{00000000-0005-0000-0000-0000800A0000}"/>
    <cellStyle name="Beräkning 18 2 3" xfId="2652" xr:uid="{00000000-0005-0000-0000-0000810A0000}"/>
    <cellStyle name="Beräkning 18 2 4" xfId="2653" xr:uid="{00000000-0005-0000-0000-0000820A0000}"/>
    <cellStyle name="Beräkning 18 2 5" xfId="2654" xr:uid="{00000000-0005-0000-0000-0000830A0000}"/>
    <cellStyle name="Beräkning 18 3" xfId="2655" xr:uid="{00000000-0005-0000-0000-0000840A0000}"/>
    <cellStyle name="Beräkning 18 4" xfId="2656" xr:uid="{00000000-0005-0000-0000-0000850A0000}"/>
    <cellStyle name="Beräkning 18 5" xfId="2657" xr:uid="{00000000-0005-0000-0000-0000860A0000}"/>
    <cellStyle name="Beräkning 18 6" xfId="2658" xr:uid="{00000000-0005-0000-0000-0000870A0000}"/>
    <cellStyle name="Beräkning 19" xfId="2659" xr:uid="{00000000-0005-0000-0000-0000880A0000}"/>
    <cellStyle name="Beräkning 19 2" xfId="2660" xr:uid="{00000000-0005-0000-0000-0000890A0000}"/>
    <cellStyle name="Beräkning 19 3" xfId="2661" xr:uid="{00000000-0005-0000-0000-00008A0A0000}"/>
    <cellStyle name="Beräkning 19 4" xfId="2662" xr:uid="{00000000-0005-0000-0000-00008B0A0000}"/>
    <cellStyle name="Beräkning 19 5" xfId="2663" xr:uid="{00000000-0005-0000-0000-00008C0A0000}"/>
    <cellStyle name="Beräkning 2" xfId="2664" xr:uid="{00000000-0005-0000-0000-00008D0A0000}"/>
    <cellStyle name="Beräkning 2 2" xfId="2665" xr:uid="{00000000-0005-0000-0000-00008E0A0000}"/>
    <cellStyle name="Beräkning 2 2 2" xfId="2666" xr:uid="{00000000-0005-0000-0000-00008F0A0000}"/>
    <cellStyle name="Beräkning 2 2 3" xfId="2667" xr:uid="{00000000-0005-0000-0000-0000900A0000}"/>
    <cellStyle name="Beräkning 2 2 4" xfId="2668" xr:uid="{00000000-0005-0000-0000-0000910A0000}"/>
    <cellStyle name="Beräkning 2 2 5" xfId="2669" xr:uid="{00000000-0005-0000-0000-0000920A0000}"/>
    <cellStyle name="Beräkning 2 3" xfId="2670" xr:uid="{00000000-0005-0000-0000-0000930A0000}"/>
    <cellStyle name="Beräkning 2 4" xfId="2671" xr:uid="{00000000-0005-0000-0000-0000940A0000}"/>
    <cellStyle name="Beräkning 2 5" xfId="2672" xr:uid="{00000000-0005-0000-0000-0000950A0000}"/>
    <cellStyle name="Beräkning 2 6" xfId="2673" xr:uid="{00000000-0005-0000-0000-0000960A0000}"/>
    <cellStyle name="Beräkning 20" xfId="2674" xr:uid="{00000000-0005-0000-0000-0000970A0000}"/>
    <cellStyle name="Beräkning 21" xfId="2675" xr:uid="{00000000-0005-0000-0000-0000980A0000}"/>
    <cellStyle name="Beräkning 22" xfId="2676" xr:uid="{00000000-0005-0000-0000-0000990A0000}"/>
    <cellStyle name="Beräkning 23" xfId="2677" xr:uid="{00000000-0005-0000-0000-00009A0A0000}"/>
    <cellStyle name="Beräkning 3" xfId="2678" xr:uid="{00000000-0005-0000-0000-00009B0A0000}"/>
    <cellStyle name="Beräkning 3 2" xfId="2679" xr:uid="{00000000-0005-0000-0000-00009C0A0000}"/>
    <cellStyle name="Beräkning 3 2 2" xfId="2680" xr:uid="{00000000-0005-0000-0000-00009D0A0000}"/>
    <cellStyle name="Beräkning 3 2 3" xfId="2681" xr:uid="{00000000-0005-0000-0000-00009E0A0000}"/>
    <cellStyle name="Beräkning 3 2 4" xfId="2682" xr:uid="{00000000-0005-0000-0000-00009F0A0000}"/>
    <cellStyle name="Beräkning 3 2 5" xfId="2683" xr:uid="{00000000-0005-0000-0000-0000A00A0000}"/>
    <cellStyle name="Beräkning 3 3" xfId="2684" xr:uid="{00000000-0005-0000-0000-0000A10A0000}"/>
    <cellStyle name="Beräkning 3 4" xfId="2685" xr:uid="{00000000-0005-0000-0000-0000A20A0000}"/>
    <cellStyle name="Beräkning 3 5" xfId="2686" xr:uid="{00000000-0005-0000-0000-0000A30A0000}"/>
    <cellStyle name="Beräkning 3 6" xfId="2687" xr:uid="{00000000-0005-0000-0000-0000A40A0000}"/>
    <cellStyle name="Beräkning 4" xfId="2688" xr:uid="{00000000-0005-0000-0000-0000A50A0000}"/>
    <cellStyle name="Beräkning 4 2" xfId="2689" xr:uid="{00000000-0005-0000-0000-0000A60A0000}"/>
    <cellStyle name="Beräkning 4 2 2" xfId="2690" xr:uid="{00000000-0005-0000-0000-0000A70A0000}"/>
    <cellStyle name="Beräkning 4 2 3" xfId="2691" xr:uid="{00000000-0005-0000-0000-0000A80A0000}"/>
    <cellStyle name="Beräkning 4 2 4" xfId="2692" xr:uid="{00000000-0005-0000-0000-0000A90A0000}"/>
    <cellStyle name="Beräkning 4 2 5" xfId="2693" xr:uid="{00000000-0005-0000-0000-0000AA0A0000}"/>
    <cellStyle name="Beräkning 4 3" xfId="2694" xr:uid="{00000000-0005-0000-0000-0000AB0A0000}"/>
    <cellStyle name="Beräkning 4 4" xfId="2695" xr:uid="{00000000-0005-0000-0000-0000AC0A0000}"/>
    <cellStyle name="Beräkning 4 5" xfId="2696" xr:uid="{00000000-0005-0000-0000-0000AD0A0000}"/>
    <cellStyle name="Beräkning 4 6" xfId="2697" xr:uid="{00000000-0005-0000-0000-0000AE0A0000}"/>
    <cellStyle name="Beräkning 5" xfId="2698" xr:uid="{00000000-0005-0000-0000-0000AF0A0000}"/>
    <cellStyle name="Beräkning 5 2" xfId="2699" xr:uid="{00000000-0005-0000-0000-0000B00A0000}"/>
    <cellStyle name="Beräkning 5 2 2" xfId="2700" xr:uid="{00000000-0005-0000-0000-0000B10A0000}"/>
    <cellStyle name="Beräkning 5 2 3" xfId="2701" xr:uid="{00000000-0005-0000-0000-0000B20A0000}"/>
    <cellStyle name="Beräkning 5 2 4" xfId="2702" xr:uid="{00000000-0005-0000-0000-0000B30A0000}"/>
    <cellStyle name="Beräkning 5 2 5" xfId="2703" xr:uid="{00000000-0005-0000-0000-0000B40A0000}"/>
    <cellStyle name="Beräkning 5 3" xfId="2704" xr:uid="{00000000-0005-0000-0000-0000B50A0000}"/>
    <cellStyle name="Beräkning 5 4" xfId="2705" xr:uid="{00000000-0005-0000-0000-0000B60A0000}"/>
    <cellStyle name="Beräkning 5 5" xfId="2706" xr:uid="{00000000-0005-0000-0000-0000B70A0000}"/>
    <cellStyle name="Beräkning 5 6" xfId="2707" xr:uid="{00000000-0005-0000-0000-0000B80A0000}"/>
    <cellStyle name="Beräkning 6" xfId="2708" xr:uid="{00000000-0005-0000-0000-0000B90A0000}"/>
    <cellStyle name="Beräkning 6 2" xfId="2709" xr:uid="{00000000-0005-0000-0000-0000BA0A0000}"/>
    <cellStyle name="Beräkning 6 2 2" xfId="2710" xr:uid="{00000000-0005-0000-0000-0000BB0A0000}"/>
    <cellStyle name="Beräkning 6 2 3" xfId="2711" xr:uid="{00000000-0005-0000-0000-0000BC0A0000}"/>
    <cellStyle name="Beräkning 6 2 4" xfId="2712" xr:uid="{00000000-0005-0000-0000-0000BD0A0000}"/>
    <cellStyle name="Beräkning 6 2 5" xfId="2713" xr:uid="{00000000-0005-0000-0000-0000BE0A0000}"/>
    <cellStyle name="Beräkning 6 3" xfId="2714" xr:uid="{00000000-0005-0000-0000-0000BF0A0000}"/>
    <cellStyle name="Beräkning 6 4" xfId="2715" xr:uid="{00000000-0005-0000-0000-0000C00A0000}"/>
    <cellStyle name="Beräkning 6 5" xfId="2716" xr:uid="{00000000-0005-0000-0000-0000C10A0000}"/>
    <cellStyle name="Beräkning 6 6" xfId="2717" xr:uid="{00000000-0005-0000-0000-0000C20A0000}"/>
    <cellStyle name="Beräkning 7" xfId="2718" xr:uid="{00000000-0005-0000-0000-0000C30A0000}"/>
    <cellStyle name="Beräkning 7 2" xfId="2719" xr:uid="{00000000-0005-0000-0000-0000C40A0000}"/>
    <cellStyle name="Beräkning 7 2 2" xfId="2720" xr:uid="{00000000-0005-0000-0000-0000C50A0000}"/>
    <cellStyle name="Beräkning 7 2 3" xfId="2721" xr:uid="{00000000-0005-0000-0000-0000C60A0000}"/>
    <cellStyle name="Beräkning 7 2 4" xfId="2722" xr:uid="{00000000-0005-0000-0000-0000C70A0000}"/>
    <cellStyle name="Beräkning 7 2 5" xfId="2723" xr:uid="{00000000-0005-0000-0000-0000C80A0000}"/>
    <cellStyle name="Beräkning 7 3" xfId="2724" xr:uid="{00000000-0005-0000-0000-0000C90A0000}"/>
    <cellStyle name="Beräkning 7 4" xfId="2725" xr:uid="{00000000-0005-0000-0000-0000CA0A0000}"/>
    <cellStyle name="Beräkning 7 5" xfId="2726" xr:uid="{00000000-0005-0000-0000-0000CB0A0000}"/>
    <cellStyle name="Beräkning 7 6" xfId="2727" xr:uid="{00000000-0005-0000-0000-0000CC0A0000}"/>
    <cellStyle name="Beräkning 8" xfId="2728" xr:uid="{00000000-0005-0000-0000-0000CD0A0000}"/>
    <cellStyle name="Beräkning 8 2" xfId="2729" xr:uid="{00000000-0005-0000-0000-0000CE0A0000}"/>
    <cellStyle name="Beräkning 8 2 2" xfId="2730" xr:uid="{00000000-0005-0000-0000-0000CF0A0000}"/>
    <cellStyle name="Beräkning 8 2 3" xfId="2731" xr:uid="{00000000-0005-0000-0000-0000D00A0000}"/>
    <cellStyle name="Beräkning 8 2 4" xfId="2732" xr:uid="{00000000-0005-0000-0000-0000D10A0000}"/>
    <cellStyle name="Beräkning 8 2 5" xfId="2733" xr:uid="{00000000-0005-0000-0000-0000D20A0000}"/>
    <cellStyle name="Beräkning 8 3" xfId="2734" xr:uid="{00000000-0005-0000-0000-0000D30A0000}"/>
    <cellStyle name="Beräkning 8 4" xfId="2735" xr:uid="{00000000-0005-0000-0000-0000D40A0000}"/>
    <cellStyle name="Beräkning 8 5" xfId="2736" xr:uid="{00000000-0005-0000-0000-0000D50A0000}"/>
    <cellStyle name="Beräkning 8 6" xfId="2737" xr:uid="{00000000-0005-0000-0000-0000D60A0000}"/>
    <cellStyle name="Beräkning 9" xfId="2738" xr:uid="{00000000-0005-0000-0000-0000D70A0000}"/>
    <cellStyle name="Beräkning 9 2" xfId="2739" xr:uid="{00000000-0005-0000-0000-0000D80A0000}"/>
    <cellStyle name="Beräkning 9 2 2" xfId="2740" xr:uid="{00000000-0005-0000-0000-0000D90A0000}"/>
    <cellStyle name="Beräkning 9 2 3" xfId="2741" xr:uid="{00000000-0005-0000-0000-0000DA0A0000}"/>
    <cellStyle name="Beräkning 9 2 4" xfId="2742" xr:uid="{00000000-0005-0000-0000-0000DB0A0000}"/>
    <cellStyle name="Beräkning 9 2 5" xfId="2743" xr:uid="{00000000-0005-0000-0000-0000DC0A0000}"/>
    <cellStyle name="Beräkning 9 3" xfId="2744" xr:uid="{00000000-0005-0000-0000-0000DD0A0000}"/>
    <cellStyle name="Beräkning 9 4" xfId="2745" xr:uid="{00000000-0005-0000-0000-0000DE0A0000}"/>
    <cellStyle name="Beräkning 9 5" xfId="2746" xr:uid="{00000000-0005-0000-0000-0000DF0A0000}"/>
    <cellStyle name="Beräkning 9 6" xfId="2747" xr:uid="{00000000-0005-0000-0000-0000E00A0000}"/>
    <cellStyle name="Beräkning_PGM_CHECK" xfId="14710" xr:uid="{00000000-0005-0000-0000-0000E10A0000}"/>
    <cellStyle name="Bevitel 2" xfId="2930" xr:uid="{00000000-0005-0000-0000-0000990B0000}"/>
    <cellStyle name="Bevitel 2 2" xfId="2931" xr:uid="{00000000-0005-0000-0000-00009A0B0000}"/>
    <cellStyle name="Bevitel 2 3" xfId="2932" xr:uid="{00000000-0005-0000-0000-00009B0B0000}"/>
    <cellStyle name="blank" xfId="2933" xr:uid="{00000000-0005-0000-0000-00009C0B0000}"/>
    <cellStyle name="BlankRow" xfId="2934" xr:uid="{00000000-0005-0000-0000-00009D0B0000}"/>
    <cellStyle name="Blogas" xfId="2935" xr:uid="{00000000-0005-0000-0000-00009E0B0000}"/>
    <cellStyle name="Bon" xfId="2936" xr:uid="{00000000-0005-0000-0000-00009F0B0000}"/>
    <cellStyle name="Border Heavy" xfId="2937" xr:uid="{00000000-0005-0000-0000-0000A00B0000}"/>
    <cellStyle name="Border Thin" xfId="2938" xr:uid="{00000000-0005-0000-0000-0000A10B0000}"/>
    <cellStyle name="Border Thin 2" xfId="14699" xr:uid="{00000000-0005-0000-0000-0000A20B0000}"/>
    <cellStyle name="Bra" xfId="2939" xr:uid="{00000000-0005-0000-0000-0000A30B0000}"/>
    <cellStyle name="brakcomma" xfId="2940" xr:uid="{00000000-0005-0000-0000-0000A40B0000}"/>
    <cellStyle name="Buena" xfId="2941" xr:uid="{00000000-0005-0000-0000-0000A50B0000}"/>
    <cellStyle name="bullet" xfId="2942" xr:uid="{00000000-0005-0000-0000-0000A60B0000}"/>
    <cellStyle name="bwcomma" xfId="2943" xr:uid="{00000000-0005-0000-0000-0000A70B0000}"/>
    <cellStyle name="C" xfId="2944" xr:uid="{00000000-0005-0000-0000-0000A80B0000}"/>
    <cellStyle name="Calander_heading" xfId="2945" xr:uid="{00000000-0005-0000-0000-0000A90B0000}"/>
    <cellStyle name="Calc" xfId="2946" xr:uid="{00000000-0005-0000-0000-0000AA0B0000}"/>
    <cellStyle name="Calc - Blue" xfId="2947" xr:uid="{00000000-0005-0000-0000-0000AB0B0000}"/>
    <cellStyle name="Calc - Blue 2" xfId="2948" xr:uid="{00000000-0005-0000-0000-0000AC0B0000}"/>
    <cellStyle name="Calc - Blue 3" xfId="2949" xr:uid="{00000000-0005-0000-0000-0000AD0B0000}"/>
    <cellStyle name="Calc - Feed" xfId="2950" xr:uid="{00000000-0005-0000-0000-0000AE0B0000}"/>
    <cellStyle name="Calc - Feed 2" xfId="2951" xr:uid="{00000000-0005-0000-0000-0000AF0B0000}"/>
    <cellStyle name="Calc - Feed 3" xfId="2952" xr:uid="{00000000-0005-0000-0000-0000B00B0000}"/>
    <cellStyle name="Calc - Green" xfId="2953" xr:uid="{00000000-0005-0000-0000-0000B10B0000}"/>
    <cellStyle name="Calc - Green 2" xfId="2954" xr:uid="{00000000-0005-0000-0000-0000B20B0000}"/>
    <cellStyle name="Calc - Green 3" xfId="2955" xr:uid="{00000000-0005-0000-0000-0000B30B0000}"/>
    <cellStyle name="Calc - Grey" xfId="2956" xr:uid="{00000000-0005-0000-0000-0000B40B0000}"/>
    <cellStyle name="Calc - Grey 2" xfId="2957" xr:uid="{00000000-0005-0000-0000-0000B50B0000}"/>
    <cellStyle name="Calc - Grey 3" xfId="2958" xr:uid="{00000000-0005-0000-0000-0000B60B0000}"/>
    <cellStyle name="Calc - Index" xfId="2959" xr:uid="{00000000-0005-0000-0000-0000B70B0000}"/>
    <cellStyle name="Calc - White" xfId="2960" xr:uid="{00000000-0005-0000-0000-0000B80B0000}"/>
    <cellStyle name="Calc - White 2" xfId="2961" xr:uid="{00000000-0005-0000-0000-0000B90B0000}"/>
    <cellStyle name="Calc - White 3" xfId="2962" xr:uid="{00000000-0005-0000-0000-0000BA0B0000}"/>
    <cellStyle name="Calc - yellow" xfId="2963" xr:uid="{00000000-0005-0000-0000-0000BB0B0000}"/>
    <cellStyle name="Calc - yellow 2" xfId="2964" xr:uid="{00000000-0005-0000-0000-0000BC0B0000}"/>
    <cellStyle name="Calc - yellow 3" xfId="2965" xr:uid="{00000000-0005-0000-0000-0000BD0B0000}"/>
    <cellStyle name="Calc 10" xfId="2966" xr:uid="{00000000-0005-0000-0000-0000BE0B0000}"/>
    <cellStyle name="Calc 11" xfId="2967" xr:uid="{00000000-0005-0000-0000-0000BF0B0000}"/>
    <cellStyle name="Calc 12" xfId="2968" xr:uid="{00000000-0005-0000-0000-0000C00B0000}"/>
    <cellStyle name="Calc 13" xfId="2969" xr:uid="{00000000-0005-0000-0000-0000C10B0000}"/>
    <cellStyle name="Calc 14" xfId="2970" xr:uid="{00000000-0005-0000-0000-0000C20B0000}"/>
    <cellStyle name="Calc 15" xfId="2971" xr:uid="{00000000-0005-0000-0000-0000C30B0000}"/>
    <cellStyle name="Calc 16" xfId="2972" xr:uid="{00000000-0005-0000-0000-0000C40B0000}"/>
    <cellStyle name="Calc 17" xfId="2973" xr:uid="{00000000-0005-0000-0000-0000C50B0000}"/>
    <cellStyle name="Calc 18" xfId="2974" xr:uid="{00000000-0005-0000-0000-0000C60B0000}"/>
    <cellStyle name="Calc 19" xfId="14722" xr:uid="{00000000-0005-0000-0000-0000C70B0000}"/>
    <cellStyle name="Calc 2" xfId="2975" xr:uid="{00000000-0005-0000-0000-0000C80B0000}"/>
    <cellStyle name="Calc 3" xfId="2976" xr:uid="{00000000-0005-0000-0000-0000C90B0000}"/>
    <cellStyle name="Calc 4" xfId="2977" xr:uid="{00000000-0005-0000-0000-0000CA0B0000}"/>
    <cellStyle name="Calc 5" xfId="2978" xr:uid="{00000000-0005-0000-0000-0000CB0B0000}"/>
    <cellStyle name="Calc 6" xfId="2979" xr:uid="{00000000-0005-0000-0000-0000CC0B0000}"/>
    <cellStyle name="Calc 7" xfId="2980" xr:uid="{00000000-0005-0000-0000-0000CD0B0000}"/>
    <cellStyle name="Calc 8" xfId="2981" xr:uid="{00000000-0005-0000-0000-0000CE0B0000}"/>
    <cellStyle name="Calc 9" xfId="2982" xr:uid="{00000000-0005-0000-0000-0000CF0B0000}"/>
    <cellStyle name="Calc_BizMo" xfId="2983" xr:uid="{00000000-0005-0000-0000-0000D00B0000}"/>
    <cellStyle name="Calcolo 10" xfId="2984" xr:uid="{00000000-0005-0000-0000-0000D10B0000}"/>
    <cellStyle name="Calcolo 10 2" xfId="2985" xr:uid="{00000000-0005-0000-0000-0000D20B0000}"/>
    <cellStyle name="Calcolo 10 2 2" xfId="2986" xr:uid="{00000000-0005-0000-0000-0000D30B0000}"/>
    <cellStyle name="Calcolo 10 2 3" xfId="2987" xr:uid="{00000000-0005-0000-0000-0000D40B0000}"/>
    <cellStyle name="Calcolo 10 2 4" xfId="2988" xr:uid="{00000000-0005-0000-0000-0000D50B0000}"/>
    <cellStyle name="Calcolo 10 2 5" xfId="2989" xr:uid="{00000000-0005-0000-0000-0000D60B0000}"/>
    <cellStyle name="Calcolo 10 3" xfId="2990" xr:uid="{00000000-0005-0000-0000-0000D70B0000}"/>
    <cellStyle name="Calcolo 10 4" xfId="2991" xr:uid="{00000000-0005-0000-0000-0000D80B0000}"/>
    <cellStyle name="Calcolo 10 5" xfId="2992" xr:uid="{00000000-0005-0000-0000-0000D90B0000}"/>
    <cellStyle name="Calcolo 10 6" xfId="2993" xr:uid="{00000000-0005-0000-0000-0000DA0B0000}"/>
    <cellStyle name="Calcolo 11" xfId="2994" xr:uid="{00000000-0005-0000-0000-0000DB0B0000}"/>
    <cellStyle name="Calcolo 11 2" xfId="2995" xr:uid="{00000000-0005-0000-0000-0000DC0B0000}"/>
    <cellStyle name="Calcolo 11 2 2" xfId="2996" xr:uid="{00000000-0005-0000-0000-0000DD0B0000}"/>
    <cellStyle name="Calcolo 11 2 3" xfId="2997" xr:uid="{00000000-0005-0000-0000-0000DE0B0000}"/>
    <cellStyle name="Calcolo 11 2 4" xfId="2998" xr:uid="{00000000-0005-0000-0000-0000DF0B0000}"/>
    <cellStyle name="Calcolo 11 2 5" xfId="2999" xr:uid="{00000000-0005-0000-0000-0000E00B0000}"/>
    <cellStyle name="Calcolo 11 3" xfId="3000" xr:uid="{00000000-0005-0000-0000-0000E10B0000}"/>
    <cellStyle name="Calcolo 11 4" xfId="3001" xr:uid="{00000000-0005-0000-0000-0000E20B0000}"/>
    <cellStyle name="Calcolo 11 5" xfId="3002" xr:uid="{00000000-0005-0000-0000-0000E30B0000}"/>
    <cellStyle name="Calcolo 11 6" xfId="3003" xr:uid="{00000000-0005-0000-0000-0000E40B0000}"/>
    <cellStyle name="Calcolo 12" xfId="3004" xr:uid="{00000000-0005-0000-0000-0000E50B0000}"/>
    <cellStyle name="Calcolo 12 2" xfId="3005" xr:uid="{00000000-0005-0000-0000-0000E60B0000}"/>
    <cellStyle name="Calcolo 12 2 2" xfId="3006" xr:uid="{00000000-0005-0000-0000-0000E70B0000}"/>
    <cellStyle name="Calcolo 12 2 3" xfId="3007" xr:uid="{00000000-0005-0000-0000-0000E80B0000}"/>
    <cellStyle name="Calcolo 12 2 4" xfId="3008" xr:uid="{00000000-0005-0000-0000-0000E90B0000}"/>
    <cellStyle name="Calcolo 12 2 5" xfId="3009" xr:uid="{00000000-0005-0000-0000-0000EA0B0000}"/>
    <cellStyle name="Calcolo 12 3" xfId="3010" xr:uid="{00000000-0005-0000-0000-0000EB0B0000}"/>
    <cellStyle name="Calcolo 12 4" xfId="3011" xr:uid="{00000000-0005-0000-0000-0000EC0B0000}"/>
    <cellStyle name="Calcolo 12 5" xfId="3012" xr:uid="{00000000-0005-0000-0000-0000ED0B0000}"/>
    <cellStyle name="Calcolo 12 6" xfId="3013" xr:uid="{00000000-0005-0000-0000-0000EE0B0000}"/>
    <cellStyle name="Calcolo 13" xfId="3014" xr:uid="{00000000-0005-0000-0000-0000EF0B0000}"/>
    <cellStyle name="Calcolo 13 2" xfId="3015" xr:uid="{00000000-0005-0000-0000-0000F00B0000}"/>
    <cellStyle name="Calcolo 13 2 2" xfId="3016" xr:uid="{00000000-0005-0000-0000-0000F10B0000}"/>
    <cellStyle name="Calcolo 13 2 3" xfId="3017" xr:uid="{00000000-0005-0000-0000-0000F20B0000}"/>
    <cellStyle name="Calcolo 13 2 4" xfId="3018" xr:uid="{00000000-0005-0000-0000-0000F30B0000}"/>
    <cellStyle name="Calcolo 13 2 5" xfId="3019" xr:uid="{00000000-0005-0000-0000-0000F40B0000}"/>
    <cellStyle name="Calcolo 13 3" xfId="3020" xr:uid="{00000000-0005-0000-0000-0000F50B0000}"/>
    <cellStyle name="Calcolo 13 4" xfId="3021" xr:uid="{00000000-0005-0000-0000-0000F60B0000}"/>
    <cellStyle name="Calcolo 13 5" xfId="3022" xr:uid="{00000000-0005-0000-0000-0000F70B0000}"/>
    <cellStyle name="Calcolo 13 6" xfId="3023" xr:uid="{00000000-0005-0000-0000-0000F80B0000}"/>
    <cellStyle name="Calcolo 14" xfId="3024" xr:uid="{00000000-0005-0000-0000-0000F90B0000}"/>
    <cellStyle name="Calcolo 14 2" xfId="3025" xr:uid="{00000000-0005-0000-0000-0000FA0B0000}"/>
    <cellStyle name="Calcolo 14 2 2" xfId="3026" xr:uid="{00000000-0005-0000-0000-0000FB0B0000}"/>
    <cellStyle name="Calcolo 14 2 3" xfId="3027" xr:uid="{00000000-0005-0000-0000-0000FC0B0000}"/>
    <cellStyle name="Calcolo 14 2 4" xfId="3028" xr:uid="{00000000-0005-0000-0000-0000FD0B0000}"/>
    <cellStyle name="Calcolo 14 2 5" xfId="3029" xr:uid="{00000000-0005-0000-0000-0000FE0B0000}"/>
    <cellStyle name="Calcolo 14 3" xfId="3030" xr:uid="{00000000-0005-0000-0000-0000FF0B0000}"/>
    <cellStyle name="Calcolo 14 4" xfId="3031" xr:uid="{00000000-0005-0000-0000-0000000C0000}"/>
    <cellStyle name="Calcolo 14 5" xfId="3032" xr:uid="{00000000-0005-0000-0000-0000010C0000}"/>
    <cellStyle name="Calcolo 14 6" xfId="3033" xr:uid="{00000000-0005-0000-0000-0000020C0000}"/>
    <cellStyle name="Calcolo 15" xfId="3034" xr:uid="{00000000-0005-0000-0000-0000030C0000}"/>
    <cellStyle name="Calcolo 15 2" xfId="3035" xr:uid="{00000000-0005-0000-0000-0000040C0000}"/>
    <cellStyle name="Calcolo 15 2 2" xfId="3036" xr:uid="{00000000-0005-0000-0000-0000050C0000}"/>
    <cellStyle name="Calcolo 15 2 3" xfId="3037" xr:uid="{00000000-0005-0000-0000-0000060C0000}"/>
    <cellStyle name="Calcolo 15 2 4" xfId="3038" xr:uid="{00000000-0005-0000-0000-0000070C0000}"/>
    <cellStyle name="Calcolo 15 2 5" xfId="3039" xr:uid="{00000000-0005-0000-0000-0000080C0000}"/>
    <cellStyle name="Calcolo 15 3" xfId="3040" xr:uid="{00000000-0005-0000-0000-0000090C0000}"/>
    <cellStyle name="Calcolo 15 4" xfId="3041" xr:uid="{00000000-0005-0000-0000-00000A0C0000}"/>
    <cellStyle name="Calcolo 15 5" xfId="3042" xr:uid="{00000000-0005-0000-0000-00000B0C0000}"/>
    <cellStyle name="Calcolo 15 6" xfId="3043" xr:uid="{00000000-0005-0000-0000-00000C0C0000}"/>
    <cellStyle name="Calcolo 16" xfId="3044" xr:uid="{00000000-0005-0000-0000-00000D0C0000}"/>
    <cellStyle name="Calcolo 16 2" xfId="3045" xr:uid="{00000000-0005-0000-0000-00000E0C0000}"/>
    <cellStyle name="Calcolo 16 2 2" xfId="3046" xr:uid="{00000000-0005-0000-0000-00000F0C0000}"/>
    <cellStyle name="Calcolo 16 2 3" xfId="3047" xr:uid="{00000000-0005-0000-0000-0000100C0000}"/>
    <cellStyle name="Calcolo 16 2 4" xfId="3048" xr:uid="{00000000-0005-0000-0000-0000110C0000}"/>
    <cellStyle name="Calcolo 16 2 5" xfId="3049" xr:uid="{00000000-0005-0000-0000-0000120C0000}"/>
    <cellStyle name="Calcolo 16 3" xfId="3050" xr:uid="{00000000-0005-0000-0000-0000130C0000}"/>
    <cellStyle name="Calcolo 16 4" xfId="3051" xr:uid="{00000000-0005-0000-0000-0000140C0000}"/>
    <cellStyle name="Calcolo 16 5" xfId="3052" xr:uid="{00000000-0005-0000-0000-0000150C0000}"/>
    <cellStyle name="Calcolo 16 6" xfId="3053" xr:uid="{00000000-0005-0000-0000-0000160C0000}"/>
    <cellStyle name="Calcolo 17" xfId="3054" xr:uid="{00000000-0005-0000-0000-0000170C0000}"/>
    <cellStyle name="Calcolo 17 2" xfId="3055" xr:uid="{00000000-0005-0000-0000-0000180C0000}"/>
    <cellStyle name="Calcolo 17 3" xfId="3056" xr:uid="{00000000-0005-0000-0000-0000190C0000}"/>
    <cellStyle name="Calcolo 17 4" xfId="3057" xr:uid="{00000000-0005-0000-0000-00001A0C0000}"/>
    <cellStyle name="Calcolo 17 5" xfId="3058" xr:uid="{00000000-0005-0000-0000-00001B0C0000}"/>
    <cellStyle name="Calcolo 18" xfId="3059" xr:uid="{00000000-0005-0000-0000-00001C0C0000}"/>
    <cellStyle name="Calcolo 18 2" xfId="3060" xr:uid="{00000000-0005-0000-0000-00001D0C0000}"/>
    <cellStyle name="Calcolo 18 3" xfId="3061" xr:uid="{00000000-0005-0000-0000-00001E0C0000}"/>
    <cellStyle name="Calcolo 18 4" xfId="3062" xr:uid="{00000000-0005-0000-0000-00001F0C0000}"/>
    <cellStyle name="Calcolo 18 5" xfId="3063" xr:uid="{00000000-0005-0000-0000-0000200C0000}"/>
    <cellStyle name="Calcolo 2" xfId="3064" xr:uid="{00000000-0005-0000-0000-0000210C0000}"/>
    <cellStyle name="Calcolo 2 2" xfId="3065" xr:uid="{00000000-0005-0000-0000-0000220C0000}"/>
    <cellStyle name="Calcolo 2 2 2" xfId="3066" xr:uid="{00000000-0005-0000-0000-0000230C0000}"/>
    <cellStyle name="Calcolo 2 2 3" xfId="3067" xr:uid="{00000000-0005-0000-0000-0000240C0000}"/>
    <cellStyle name="Calcolo 2 2 4" xfId="3068" xr:uid="{00000000-0005-0000-0000-0000250C0000}"/>
    <cellStyle name="Calcolo 2 2 5" xfId="3069" xr:uid="{00000000-0005-0000-0000-0000260C0000}"/>
    <cellStyle name="Calcolo 2 3" xfId="3070" xr:uid="{00000000-0005-0000-0000-0000270C0000}"/>
    <cellStyle name="Calcolo 2 4" xfId="3071" xr:uid="{00000000-0005-0000-0000-0000280C0000}"/>
    <cellStyle name="Calcolo 2 5" xfId="3072" xr:uid="{00000000-0005-0000-0000-0000290C0000}"/>
    <cellStyle name="Calcolo 2 6" xfId="3073" xr:uid="{00000000-0005-0000-0000-00002A0C0000}"/>
    <cellStyle name="Calcolo 3" xfId="3074" xr:uid="{00000000-0005-0000-0000-00002B0C0000}"/>
    <cellStyle name="Calcolo 3 2" xfId="3075" xr:uid="{00000000-0005-0000-0000-00002C0C0000}"/>
    <cellStyle name="Calcolo 3 2 2" xfId="3076" xr:uid="{00000000-0005-0000-0000-00002D0C0000}"/>
    <cellStyle name="Calcolo 3 2 3" xfId="3077" xr:uid="{00000000-0005-0000-0000-00002E0C0000}"/>
    <cellStyle name="Calcolo 3 2 4" xfId="3078" xr:uid="{00000000-0005-0000-0000-00002F0C0000}"/>
    <cellStyle name="Calcolo 3 2 5" xfId="3079" xr:uid="{00000000-0005-0000-0000-0000300C0000}"/>
    <cellStyle name="Calcolo 3 3" xfId="3080" xr:uid="{00000000-0005-0000-0000-0000310C0000}"/>
    <cellStyle name="Calcolo 3 4" xfId="3081" xr:uid="{00000000-0005-0000-0000-0000320C0000}"/>
    <cellStyle name="Calcolo 3 5" xfId="3082" xr:uid="{00000000-0005-0000-0000-0000330C0000}"/>
    <cellStyle name="Calcolo 3 6" xfId="3083" xr:uid="{00000000-0005-0000-0000-0000340C0000}"/>
    <cellStyle name="Calcolo 4" xfId="3084" xr:uid="{00000000-0005-0000-0000-0000350C0000}"/>
    <cellStyle name="Calcolo 4 2" xfId="3085" xr:uid="{00000000-0005-0000-0000-0000360C0000}"/>
    <cellStyle name="Calcolo 4 2 2" xfId="3086" xr:uid="{00000000-0005-0000-0000-0000370C0000}"/>
    <cellStyle name="Calcolo 4 2 3" xfId="3087" xr:uid="{00000000-0005-0000-0000-0000380C0000}"/>
    <cellStyle name="Calcolo 4 2 4" xfId="3088" xr:uid="{00000000-0005-0000-0000-0000390C0000}"/>
    <cellStyle name="Calcolo 4 2 5" xfId="3089" xr:uid="{00000000-0005-0000-0000-00003A0C0000}"/>
    <cellStyle name="Calcolo 4 3" xfId="3090" xr:uid="{00000000-0005-0000-0000-00003B0C0000}"/>
    <cellStyle name="Calcolo 4 4" xfId="3091" xr:uid="{00000000-0005-0000-0000-00003C0C0000}"/>
    <cellStyle name="Calcolo 4 5" xfId="3092" xr:uid="{00000000-0005-0000-0000-00003D0C0000}"/>
    <cellStyle name="Calcolo 4 6" xfId="3093" xr:uid="{00000000-0005-0000-0000-00003E0C0000}"/>
    <cellStyle name="Calcolo 5" xfId="3094" xr:uid="{00000000-0005-0000-0000-00003F0C0000}"/>
    <cellStyle name="Calcolo 5 2" xfId="3095" xr:uid="{00000000-0005-0000-0000-0000400C0000}"/>
    <cellStyle name="Calcolo 5 2 2" xfId="3096" xr:uid="{00000000-0005-0000-0000-0000410C0000}"/>
    <cellStyle name="Calcolo 5 2 3" xfId="3097" xr:uid="{00000000-0005-0000-0000-0000420C0000}"/>
    <cellStyle name="Calcolo 5 2 4" xfId="3098" xr:uid="{00000000-0005-0000-0000-0000430C0000}"/>
    <cellStyle name="Calcolo 5 2 5" xfId="3099" xr:uid="{00000000-0005-0000-0000-0000440C0000}"/>
    <cellStyle name="Calcolo 5 3" xfId="3100" xr:uid="{00000000-0005-0000-0000-0000450C0000}"/>
    <cellStyle name="Calcolo 5 4" xfId="3101" xr:uid="{00000000-0005-0000-0000-0000460C0000}"/>
    <cellStyle name="Calcolo 5 5" xfId="3102" xr:uid="{00000000-0005-0000-0000-0000470C0000}"/>
    <cellStyle name="Calcolo 5 6" xfId="3103" xr:uid="{00000000-0005-0000-0000-0000480C0000}"/>
    <cellStyle name="Calcolo 6" xfId="3104" xr:uid="{00000000-0005-0000-0000-0000490C0000}"/>
    <cellStyle name="Calcolo 6 2" xfId="3105" xr:uid="{00000000-0005-0000-0000-00004A0C0000}"/>
    <cellStyle name="Calcolo 6 2 2" xfId="3106" xr:uid="{00000000-0005-0000-0000-00004B0C0000}"/>
    <cellStyle name="Calcolo 6 2 3" xfId="3107" xr:uid="{00000000-0005-0000-0000-00004C0C0000}"/>
    <cellStyle name="Calcolo 6 2 4" xfId="3108" xr:uid="{00000000-0005-0000-0000-00004D0C0000}"/>
    <cellStyle name="Calcolo 6 2 5" xfId="3109" xr:uid="{00000000-0005-0000-0000-00004E0C0000}"/>
    <cellStyle name="Calcolo 6 3" xfId="3110" xr:uid="{00000000-0005-0000-0000-00004F0C0000}"/>
    <cellStyle name="Calcolo 6 4" xfId="3111" xr:uid="{00000000-0005-0000-0000-0000500C0000}"/>
    <cellStyle name="Calcolo 6 5" xfId="3112" xr:uid="{00000000-0005-0000-0000-0000510C0000}"/>
    <cellStyle name="Calcolo 6 6" xfId="3113" xr:uid="{00000000-0005-0000-0000-0000520C0000}"/>
    <cellStyle name="Calcolo 7" xfId="3114" xr:uid="{00000000-0005-0000-0000-0000530C0000}"/>
    <cellStyle name="Calcolo 7 2" xfId="3115" xr:uid="{00000000-0005-0000-0000-0000540C0000}"/>
    <cellStyle name="Calcolo 7 2 2" xfId="3116" xr:uid="{00000000-0005-0000-0000-0000550C0000}"/>
    <cellStyle name="Calcolo 7 2 3" xfId="3117" xr:uid="{00000000-0005-0000-0000-0000560C0000}"/>
    <cellStyle name="Calcolo 7 2 4" xfId="3118" xr:uid="{00000000-0005-0000-0000-0000570C0000}"/>
    <cellStyle name="Calcolo 7 2 5" xfId="3119" xr:uid="{00000000-0005-0000-0000-0000580C0000}"/>
    <cellStyle name="Calcolo 7 3" xfId="3120" xr:uid="{00000000-0005-0000-0000-0000590C0000}"/>
    <cellStyle name="Calcolo 7 4" xfId="3121" xr:uid="{00000000-0005-0000-0000-00005A0C0000}"/>
    <cellStyle name="Calcolo 7 5" xfId="3122" xr:uid="{00000000-0005-0000-0000-00005B0C0000}"/>
    <cellStyle name="Calcolo 7 6" xfId="3123" xr:uid="{00000000-0005-0000-0000-00005C0C0000}"/>
    <cellStyle name="Calcolo 8" xfId="3124" xr:uid="{00000000-0005-0000-0000-00005D0C0000}"/>
    <cellStyle name="Calcolo 8 2" xfId="3125" xr:uid="{00000000-0005-0000-0000-00005E0C0000}"/>
    <cellStyle name="Calcolo 8 2 2" xfId="3126" xr:uid="{00000000-0005-0000-0000-00005F0C0000}"/>
    <cellStyle name="Calcolo 8 2 3" xfId="3127" xr:uid="{00000000-0005-0000-0000-0000600C0000}"/>
    <cellStyle name="Calcolo 8 2 4" xfId="3128" xr:uid="{00000000-0005-0000-0000-0000610C0000}"/>
    <cellStyle name="Calcolo 8 2 5" xfId="3129" xr:uid="{00000000-0005-0000-0000-0000620C0000}"/>
    <cellStyle name="Calcolo 8 3" xfId="3130" xr:uid="{00000000-0005-0000-0000-0000630C0000}"/>
    <cellStyle name="Calcolo 8 4" xfId="3131" xr:uid="{00000000-0005-0000-0000-0000640C0000}"/>
    <cellStyle name="Calcolo 8 5" xfId="3132" xr:uid="{00000000-0005-0000-0000-0000650C0000}"/>
    <cellStyle name="Calcolo 8 6" xfId="3133" xr:uid="{00000000-0005-0000-0000-0000660C0000}"/>
    <cellStyle name="Calcolo 9" xfId="3134" xr:uid="{00000000-0005-0000-0000-0000670C0000}"/>
    <cellStyle name="Calcolo 9 2" xfId="3135" xr:uid="{00000000-0005-0000-0000-0000680C0000}"/>
    <cellStyle name="Calcolo 9 2 2" xfId="3136" xr:uid="{00000000-0005-0000-0000-0000690C0000}"/>
    <cellStyle name="Calcolo 9 2 3" xfId="3137" xr:uid="{00000000-0005-0000-0000-00006A0C0000}"/>
    <cellStyle name="Calcolo 9 2 4" xfId="3138" xr:uid="{00000000-0005-0000-0000-00006B0C0000}"/>
    <cellStyle name="Calcolo 9 2 5" xfId="3139" xr:uid="{00000000-0005-0000-0000-00006C0C0000}"/>
    <cellStyle name="Calcolo 9 3" xfId="3140" xr:uid="{00000000-0005-0000-0000-00006D0C0000}"/>
    <cellStyle name="Calcolo 9 4" xfId="3141" xr:uid="{00000000-0005-0000-0000-00006E0C0000}"/>
    <cellStyle name="Calcolo 9 5" xfId="3142" xr:uid="{00000000-0005-0000-0000-00006F0C0000}"/>
    <cellStyle name="Calcolo 9 6" xfId="3143" xr:uid="{00000000-0005-0000-0000-0000700C0000}"/>
    <cellStyle name="Calcul 10" xfId="3144" xr:uid="{00000000-0005-0000-0000-0000710C0000}"/>
    <cellStyle name="Calcul 10 2" xfId="3145" xr:uid="{00000000-0005-0000-0000-0000720C0000}"/>
    <cellStyle name="Calcul 10 2 2" xfId="3146" xr:uid="{00000000-0005-0000-0000-0000730C0000}"/>
    <cellStyle name="Calcul 10 2 3" xfId="3147" xr:uid="{00000000-0005-0000-0000-0000740C0000}"/>
    <cellStyle name="Calcul 10 2 4" xfId="3148" xr:uid="{00000000-0005-0000-0000-0000750C0000}"/>
    <cellStyle name="Calcul 10 2 5" xfId="3149" xr:uid="{00000000-0005-0000-0000-0000760C0000}"/>
    <cellStyle name="Calcul 10 3" xfId="3150" xr:uid="{00000000-0005-0000-0000-0000770C0000}"/>
    <cellStyle name="Calcul 10 4" xfId="3151" xr:uid="{00000000-0005-0000-0000-0000780C0000}"/>
    <cellStyle name="Calcul 10 5" xfId="3152" xr:uid="{00000000-0005-0000-0000-0000790C0000}"/>
    <cellStyle name="Calcul 10 6" xfId="3153" xr:uid="{00000000-0005-0000-0000-00007A0C0000}"/>
    <cellStyle name="Calcul 11" xfId="3154" xr:uid="{00000000-0005-0000-0000-00007B0C0000}"/>
    <cellStyle name="Calcul 11 2" xfId="3155" xr:uid="{00000000-0005-0000-0000-00007C0C0000}"/>
    <cellStyle name="Calcul 11 2 2" xfId="3156" xr:uid="{00000000-0005-0000-0000-00007D0C0000}"/>
    <cellStyle name="Calcul 11 2 3" xfId="3157" xr:uid="{00000000-0005-0000-0000-00007E0C0000}"/>
    <cellStyle name="Calcul 11 2 4" xfId="3158" xr:uid="{00000000-0005-0000-0000-00007F0C0000}"/>
    <cellStyle name="Calcul 11 2 5" xfId="3159" xr:uid="{00000000-0005-0000-0000-0000800C0000}"/>
    <cellStyle name="Calcul 11 3" xfId="3160" xr:uid="{00000000-0005-0000-0000-0000810C0000}"/>
    <cellStyle name="Calcul 11 4" xfId="3161" xr:uid="{00000000-0005-0000-0000-0000820C0000}"/>
    <cellStyle name="Calcul 11 5" xfId="3162" xr:uid="{00000000-0005-0000-0000-0000830C0000}"/>
    <cellStyle name="Calcul 11 6" xfId="3163" xr:uid="{00000000-0005-0000-0000-0000840C0000}"/>
    <cellStyle name="Calcul 12" xfId="3164" xr:uid="{00000000-0005-0000-0000-0000850C0000}"/>
    <cellStyle name="Calcul 12 2" xfId="3165" xr:uid="{00000000-0005-0000-0000-0000860C0000}"/>
    <cellStyle name="Calcul 12 2 2" xfId="3166" xr:uid="{00000000-0005-0000-0000-0000870C0000}"/>
    <cellStyle name="Calcul 12 2 3" xfId="3167" xr:uid="{00000000-0005-0000-0000-0000880C0000}"/>
    <cellStyle name="Calcul 12 2 4" xfId="3168" xr:uid="{00000000-0005-0000-0000-0000890C0000}"/>
    <cellStyle name="Calcul 12 2 5" xfId="3169" xr:uid="{00000000-0005-0000-0000-00008A0C0000}"/>
    <cellStyle name="Calcul 12 3" xfId="3170" xr:uid="{00000000-0005-0000-0000-00008B0C0000}"/>
    <cellStyle name="Calcul 12 4" xfId="3171" xr:uid="{00000000-0005-0000-0000-00008C0C0000}"/>
    <cellStyle name="Calcul 12 5" xfId="3172" xr:uid="{00000000-0005-0000-0000-00008D0C0000}"/>
    <cellStyle name="Calcul 12 6" xfId="3173" xr:uid="{00000000-0005-0000-0000-00008E0C0000}"/>
    <cellStyle name="Calcul 13" xfId="3174" xr:uid="{00000000-0005-0000-0000-00008F0C0000}"/>
    <cellStyle name="Calcul 13 2" xfId="3175" xr:uid="{00000000-0005-0000-0000-0000900C0000}"/>
    <cellStyle name="Calcul 13 2 2" xfId="3176" xr:uid="{00000000-0005-0000-0000-0000910C0000}"/>
    <cellStyle name="Calcul 13 2 3" xfId="3177" xr:uid="{00000000-0005-0000-0000-0000920C0000}"/>
    <cellStyle name="Calcul 13 2 4" xfId="3178" xr:uid="{00000000-0005-0000-0000-0000930C0000}"/>
    <cellStyle name="Calcul 13 2 5" xfId="3179" xr:uid="{00000000-0005-0000-0000-0000940C0000}"/>
    <cellStyle name="Calcul 13 3" xfId="3180" xr:uid="{00000000-0005-0000-0000-0000950C0000}"/>
    <cellStyle name="Calcul 13 4" xfId="3181" xr:uid="{00000000-0005-0000-0000-0000960C0000}"/>
    <cellStyle name="Calcul 13 5" xfId="3182" xr:uid="{00000000-0005-0000-0000-0000970C0000}"/>
    <cellStyle name="Calcul 13 6" xfId="3183" xr:uid="{00000000-0005-0000-0000-0000980C0000}"/>
    <cellStyle name="Calcul 14" xfId="3184" xr:uid="{00000000-0005-0000-0000-0000990C0000}"/>
    <cellStyle name="Calcul 14 2" xfId="3185" xr:uid="{00000000-0005-0000-0000-00009A0C0000}"/>
    <cellStyle name="Calcul 14 2 2" xfId="3186" xr:uid="{00000000-0005-0000-0000-00009B0C0000}"/>
    <cellStyle name="Calcul 14 2 3" xfId="3187" xr:uid="{00000000-0005-0000-0000-00009C0C0000}"/>
    <cellStyle name="Calcul 14 2 4" xfId="3188" xr:uid="{00000000-0005-0000-0000-00009D0C0000}"/>
    <cellStyle name="Calcul 14 2 5" xfId="3189" xr:uid="{00000000-0005-0000-0000-00009E0C0000}"/>
    <cellStyle name="Calcul 14 3" xfId="3190" xr:uid="{00000000-0005-0000-0000-00009F0C0000}"/>
    <cellStyle name="Calcul 14 4" xfId="3191" xr:uid="{00000000-0005-0000-0000-0000A00C0000}"/>
    <cellStyle name="Calcul 14 5" xfId="3192" xr:uid="{00000000-0005-0000-0000-0000A10C0000}"/>
    <cellStyle name="Calcul 14 6" xfId="3193" xr:uid="{00000000-0005-0000-0000-0000A20C0000}"/>
    <cellStyle name="Calcul 15" xfId="3194" xr:uid="{00000000-0005-0000-0000-0000A30C0000}"/>
    <cellStyle name="Calcul 15 2" xfId="3195" xr:uid="{00000000-0005-0000-0000-0000A40C0000}"/>
    <cellStyle name="Calcul 15 2 2" xfId="3196" xr:uid="{00000000-0005-0000-0000-0000A50C0000}"/>
    <cellStyle name="Calcul 15 2 3" xfId="3197" xr:uid="{00000000-0005-0000-0000-0000A60C0000}"/>
    <cellStyle name="Calcul 15 2 4" xfId="3198" xr:uid="{00000000-0005-0000-0000-0000A70C0000}"/>
    <cellStyle name="Calcul 15 2 5" xfId="3199" xr:uid="{00000000-0005-0000-0000-0000A80C0000}"/>
    <cellStyle name="Calcul 15 3" xfId="3200" xr:uid="{00000000-0005-0000-0000-0000A90C0000}"/>
    <cellStyle name="Calcul 15 4" xfId="3201" xr:uid="{00000000-0005-0000-0000-0000AA0C0000}"/>
    <cellStyle name="Calcul 15 5" xfId="3202" xr:uid="{00000000-0005-0000-0000-0000AB0C0000}"/>
    <cellStyle name="Calcul 15 6" xfId="3203" xr:uid="{00000000-0005-0000-0000-0000AC0C0000}"/>
    <cellStyle name="Calcul 16" xfId="3204" xr:uid="{00000000-0005-0000-0000-0000AD0C0000}"/>
    <cellStyle name="Calcul 16 2" xfId="3205" xr:uid="{00000000-0005-0000-0000-0000AE0C0000}"/>
    <cellStyle name="Calcul 16 3" xfId="3206" xr:uid="{00000000-0005-0000-0000-0000AF0C0000}"/>
    <cellStyle name="Calcul 16 4" xfId="3207" xr:uid="{00000000-0005-0000-0000-0000B00C0000}"/>
    <cellStyle name="Calcul 16 5" xfId="3208" xr:uid="{00000000-0005-0000-0000-0000B10C0000}"/>
    <cellStyle name="Calcul 17" xfId="3209" xr:uid="{00000000-0005-0000-0000-0000B20C0000}"/>
    <cellStyle name="Calcul 17 2" xfId="3210" xr:uid="{00000000-0005-0000-0000-0000B30C0000}"/>
    <cellStyle name="Calcul 17 3" xfId="3211" xr:uid="{00000000-0005-0000-0000-0000B40C0000}"/>
    <cellStyle name="Calcul 18" xfId="3212" xr:uid="{00000000-0005-0000-0000-0000B50C0000}"/>
    <cellStyle name="Calcul 19" xfId="3213" xr:uid="{00000000-0005-0000-0000-0000B60C0000}"/>
    <cellStyle name="Calcul 2" xfId="3214" xr:uid="{00000000-0005-0000-0000-0000B70C0000}"/>
    <cellStyle name="Calcul 2 2" xfId="3215" xr:uid="{00000000-0005-0000-0000-0000B80C0000}"/>
    <cellStyle name="Calcul 2 2 2" xfId="3216" xr:uid="{00000000-0005-0000-0000-0000B90C0000}"/>
    <cellStyle name="Calcul 2 2 2 2" xfId="3217" xr:uid="{00000000-0005-0000-0000-0000BA0C0000}"/>
    <cellStyle name="Calcul 2 2 3" xfId="3218" xr:uid="{00000000-0005-0000-0000-0000BB0C0000}"/>
    <cellStyle name="Calcul 2 2 3 2" xfId="3219" xr:uid="{00000000-0005-0000-0000-0000BC0C0000}"/>
    <cellStyle name="Calcul 2 2 4" xfId="3220" xr:uid="{00000000-0005-0000-0000-0000BD0C0000}"/>
    <cellStyle name="Calcul 2 2 4 2" xfId="3221" xr:uid="{00000000-0005-0000-0000-0000BE0C0000}"/>
    <cellStyle name="Calcul 2 2 5" xfId="3222" xr:uid="{00000000-0005-0000-0000-0000BF0C0000}"/>
    <cellStyle name="Calcul 2 3" xfId="3223" xr:uid="{00000000-0005-0000-0000-0000C00C0000}"/>
    <cellStyle name="Calcul 2 3 2" xfId="3224" xr:uid="{00000000-0005-0000-0000-0000C10C0000}"/>
    <cellStyle name="Calcul 2 4" xfId="3225" xr:uid="{00000000-0005-0000-0000-0000C20C0000}"/>
    <cellStyle name="Calcul 2 4 2" xfId="3226" xr:uid="{00000000-0005-0000-0000-0000C30C0000}"/>
    <cellStyle name="Calcul 2 5" xfId="3227" xr:uid="{00000000-0005-0000-0000-0000C40C0000}"/>
    <cellStyle name="Calcul 2 5 2" xfId="3228" xr:uid="{00000000-0005-0000-0000-0000C50C0000}"/>
    <cellStyle name="Calcul 2 6" xfId="3229" xr:uid="{00000000-0005-0000-0000-0000C60C0000}"/>
    <cellStyle name="Calcul 2_130725 DSNA 2011 Dossier de révision initial" xfId="14702" xr:uid="{00000000-0005-0000-0000-0000C70C0000}"/>
    <cellStyle name="Calcul 20" xfId="3230" xr:uid="{00000000-0005-0000-0000-0000C80C0000}"/>
    <cellStyle name="Calcul 3" xfId="3231" xr:uid="{00000000-0005-0000-0000-0000C90C0000}"/>
    <cellStyle name="Calcul 3 2" xfId="3232" xr:uid="{00000000-0005-0000-0000-0000CA0C0000}"/>
    <cellStyle name="Calcul 3 2 2" xfId="3233" xr:uid="{00000000-0005-0000-0000-0000CB0C0000}"/>
    <cellStyle name="Calcul 3 2 3" xfId="3234" xr:uid="{00000000-0005-0000-0000-0000CC0C0000}"/>
    <cellStyle name="Calcul 3 2 4" xfId="3235" xr:uid="{00000000-0005-0000-0000-0000CD0C0000}"/>
    <cellStyle name="Calcul 3 2 5" xfId="3236" xr:uid="{00000000-0005-0000-0000-0000CE0C0000}"/>
    <cellStyle name="Calcul 3 3" xfId="3237" xr:uid="{00000000-0005-0000-0000-0000CF0C0000}"/>
    <cellStyle name="Calcul 3 3 2" xfId="3238" xr:uid="{00000000-0005-0000-0000-0000D00C0000}"/>
    <cellStyle name="Calcul 3 4" xfId="3239" xr:uid="{00000000-0005-0000-0000-0000D10C0000}"/>
    <cellStyle name="Calcul 3 4 2" xfId="3240" xr:uid="{00000000-0005-0000-0000-0000D20C0000}"/>
    <cellStyle name="Calcul 3 5" xfId="3241" xr:uid="{00000000-0005-0000-0000-0000D30C0000}"/>
    <cellStyle name="Calcul 3 6" xfId="3242" xr:uid="{00000000-0005-0000-0000-0000D40C0000}"/>
    <cellStyle name="Calcul 4" xfId="3243" xr:uid="{00000000-0005-0000-0000-0000D50C0000}"/>
    <cellStyle name="Calcul 4 2" xfId="3244" xr:uid="{00000000-0005-0000-0000-0000D60C0000}"/>
    <cellStyle name="Calcul 4 2 2" xfId="3245" xr:uid="{00000000-0005-0000-0000-0000D70C0000}"/>
    <cellStyle name="Calcul 4 2 3" xfId="3246" xr:uid="{00000000-0005-0000-0000-0000D80C0000}"/>
    <cellStyle name="Calcul 4 2 4" xfId="3247" xr:uid="{00000000-0005-0000-0000-0000D90C0000}"/>
    <cellStyle name="Calcul 4 3" xfId="3248" xr:uid="{00000000-0005-0000-0000-0000DA0C0000}"/>
    <cellStyle name="Calcul 4 3 2" xfId="3249" xr:uid="{00000000-0005-0000-0000-0000DB0C0000}"/>
    <cellStyle name="Calcul 4 3 3" xfId="3250" xr:uid="{00000000-0005-0000-0000-0000DC0C0000}"/>
    <cellStyle name="Calcul 4 4" xfId="3251" xr:uid="{00000000-0005-0000-0000-0000DD0C0000}"/>
    <cellStyle name="Calcul 4 5" xfId="3252" xr:uid="{00000000-0005-0000-0000-0000DE0C0000}"/>
    <cellStyle name="Calcul 5" xfId="3253" xr:uid="{00000000-0005-0000-0000-0000DF0C0000}"/>
    <cellStyle name="Calcul 5 2" xfId="3254" xr:uid="{00000000-0005-0000-0000-0000E00C0000}"/>
    <cellStyle name="Calcul 5 2 2" xfId="3255" xr:uid="{00000000-0005-0000-0000-0000E10C0000}"/>
    <cellStyle name="Calcul 5 2 3" xfId="3256" xr:uid="{00000000-0005-0000-0000-0000E20C0000}"/>
    <cellStyle name="Calcul 5 2 4" xfId="3257" xr:uid="{00000000-0005-0000-0000-0000E30C0000}"/>
    <cellStyle name="Calcul 5 2 5" xfId="3258" xr:uid="{00000000-0005-0000-0000-0000E40C0000}"/>
    <cellStyle name="Calcul 5 3" xfId="3259" xr:uid="{00000000-0005-0000-0000-0000E50C0000}"/>
    <cellStyle name="Calcul 5 3 2" xfId="3260" xr:uid="{00000000-0005-0000-0000-0000E60C0000}"/>
    <cellStyle name="Calcul 5 4" xfId="3261" xr:uid="{00000000-0005-0000-0000-0000E70C0000}"/>
    <cellStyle name="Calcul 5 5" xfId="3262" xr:uid="{00000000-0005-0000-0000-0000E80C0000}"/>
    <cellStyle name="Calcul 5 6" xfId="3263" xr:uid="{00000000-0005-0000-0000-0000E90C0000}"/>
    <cellStyle name="Calcul 6" xfId="3264" xr:uid="{00000000-0005-0000-0000-0000EA0C0000}"/>
    <cellStyle name="Calcul 6 2" xfId="3265" xr:uid="{00000000-0005-0000-0000-0000EB0C0000}"/>
    <cellStyle name="Calcul 6 2 2" xfId="3266" xr:uid="{00000000-0005-0000-0000-0000EC0C0000}"/>
    <cellStyle name="Calcul 6 2 3" xfId="3267" xr:uid="{00000000-0005-0000-0000-0000ED0C0000}"/>
    <cellStyle name="Calcul 6 2 4" xfId="3268" xr:uid="{00000000-0005-0000-0000-0000EE0C0000}"/>
    <cellStyle name="Calcul 6 2 5" xfId="3269" xr:uid="{00000000-0005-0000-0000-0000EF0C0000}"/>
    <cellStyle name="Calcul 6 3" xfId="3270" xr:uid="{00000000-0005-0000-0000-0000F00C0000}"/>
    <cellStyle name="Calcul 6 4" xfId="3271" xr:uid="{00000000-0005-0000-0000-0000F10C0000}"/>
    <cellStyle name="Calcul 6 5" xfId="3272" xr:uid="{00000000-0005-0000-0000-0000F20C0000}"/>
    <cellStyle name="Calcul 6 6" xfId="3273" xr:uid="{00000000-0005-0000-0000-0000F30C0000}"/>
    <cellStyle name="Calcul 7" xfId="3274" xr:uid="{00000000-0005-0000-0000-0000F40C0000}"/>
    <cellStyle name="Calcul 7 2" xfId="3275" xr:uid="{00000000-0005-0000-0000-0000F50C0000}"/>
    <cellStyle name="Calcul 7 2 2" xfId="3276" xr:uid="{00000000-0005-0000-0000-0000F60C0000}"/>
    <cellStyle name="Calcul 7 2 3" xfId="3277" xr:uid="{00000000-0005-0000-0000-0000F70C0000}"/>
    <cellStyle name="Calcul 7 2 4" xfId="3278" xr:uid="{00000000-0005-0000-0000-0000F80C0000}"/>
    <cellStyle name="Calcul 7 2 5" xfId="3279" xr:uid="{00000000-0005-0000-0000-0000F90C0000}"/>
    <cellStyle name="Calcul 7 3" xfId="3280" xr:uid="{00000000-0005-0000-0000-0000FA0C0000}"/>
    <cellStyle name="Calcul 7 4" xfId="3281" xr:uid="{00000000-0005-0000-0000-0000FB0C0000}"/>
    <cellStyle name="Calcul 7 5" xfId="3282" xr:uid="{00000000-0005-0000-0000-0000FC0C0000}"/>
    <cellStyle name="Calcul 7 6" xfId="3283" xr:uid="{00000000-0005-0000-0000-0000FD0C0000}"/>
    <cellStyle name="Calcul 8" xfId="3284" xr:uid="{00000000-0005-0000-0000-0000FE0C0000}"/>
    <cellStyle name="Calcul 8 2" xfId="3285" xr:uid="{00000000-0005-0000-0000-0000FF0C0000}"/>
    <cellStyle name="Calcul 8 2 2" xfId="3286" xr:uid="{00000000-0005-0000-0000-0000000D0000}"/>
    <cellStyle name="Calcul 8 2 3" xfId="3287" xr:uid="{00000000-0005-0000-0000-0000010D0000}"/>
    <cellStyle name="Calcul 8 2 4" xfId="3288" xr:uid="{00000000-0005-0000-0000-0000020D0000}"/>
    <cellStyle name="Calcul 8 2 5" xfId="3289" xr:uid="{00000000-0005-0000-0000-0000030D0000}"/>
    <cellStyle name="Calcul 8 3" xfId="3290" xr:uid="{00000000-0005-0000-0000-0000040D0000}"/>
    <cellStyle name="Calcul 8 4" xfId="3291" xr:uid="{00000000-0005-0000-0000-0000050D0000}"/>
    <cellStyle name="Calcul 8 5" xfId="3292" xr:uid="{00000000-0005-0000-0000-0000060D0000}"/>
    <cellStyle name="Calcul 8 6" xfId="3293" xr:uid="{00000000-0005-0000-0000-0000070D0000}"/>
    <cellStyle name="Calcul 9" xfId="3294" xr:uid="{00000000-0005-0000-0000-0000080D0000}"/>
    <cellStyle name="Calcul 9 2" xfId="3295" xr:uid="{00000000-0005-0000-0000-0000090D0000}"/>
    <cellStyle name="Calcul 9 2 2" xfId="3296" xr:uid="{00000000-0005-0000-0000-00000A0D0000}"/>
    <cellStyle name="Calcul 9 2 3" xfId="3297" xr:uid="{00000000-0005-0000-0000-00000B0D0000}"/>
    <cellStyle name="Calcul 9 2 4" xfId="3298" xr:uid="{00000000-0005-0000-0000-00000C0D0000}"/>
    <cellStyle name="Calcul 9 2 5" xfId="3299" xr:uid="{00000000-0005-0000-0000-00000D0D0000}"/>
    <cellStyle name="Calcul 9 3" xfId="3300" xr:uid="{00000000-0005-0000-0000-00000E0D0000}"/>
    <cellStyle name="Calcul 9 4" xfId="3301" xr:uid="{00000000-0005-0000-0000-00000F0D0000}"/>
    <cellStyle name="Calcul 9 5" xfId="3302" xr:uid="{00000000-0005-0000-0000-0000100D0000}"/>
    <cellStyle name="Calcul 9 6" xfId="3303" xr:uid="{00000000-0005-0000-0000-0000110D0000}"/>
    <cellStyle name="Calculation 10" xfId="3305" xr:uid="{00000000-0005-0000-0000-0000120D0000}"/>
    <cellStyle name="Calculation 10 2" xfId="3306" xr:uid="{00000000-0005-0000-0000-0000130D0000}"/>
    <cellStyle name="Calculation 10 2 2" xfId="3307" xr:uid="{00000000-0005-0000-0000-0000140D0000}"/>
    <cellStyle name="Calculation 10 2 3" xfId="3308" xr:uid="{00000000-0005-0000-0000-0000150D0000}"/>
    <cellStyle name="Calculation 10 2 4" xfId="3309" xr:uid="{00000000-0005-0000-0000-0000160D0000}"/>
    <cellStyle name="Calculation 10 2 5" xfId="3310" xr:uid="{00000000-0005-0000-0000-0000170D0000}"/>
    <cellStyle name="Calculation 10 3" xfId="3311" xr:uid="{00000000-0005-0000-0000-0000180D0000}"/>
    <cellStyle name="Calculation 10 4" xfId="3312" xr:uid="{00000000-0005-0000-0000-0000190D0000}"/>
    <cellStyle name="Calculation 10 5" xfId="3313" xr:uid="{00000000-0005-0000-0000-00001A0D0000}"/>
    <cellStyle name="Calculation 10 6" xfId="3314" xr:uid="{00000000-0005-0000-0000-00001B0D0000}"/>
    <cellStyle name="Calculation 11" xfId="3315" xr:uid="{00000000-0005-0000-0000-00001C0D0000}"/>
    <cellStyle name="Calculation 11 2" xfId="3316" xr:uid="{00000000-0005-0000-0000-00001D0D0000}"/>
    <cellStyle name="Calculation 11 2 2" xfId="3317" xr:uid="{00000000-0005-0000-0000-00001E0D0000}"/>
    <cellStyle name="Calculation 11 2 3" xfId="3318" xr:uid="{00000000-0005-0000-0000-00001F0D0000}"/>
    <cellStyle name="Calculation 11 2 4" xfId="3319" xr:uid="{00000000-0005-0000-0000-0000200D0000}"/>
    <cellStyle name="Calculation 11 2 5" xfId="3320" xr:uid="{00000000-0005-0000-0000-0000210D0000}"/>
    <cellStyle name="Calculation 11 3" xfId="3321" xr:uid="{00000000-0005-0000-0000-0000220D0000}"/>
    <cellStyle name="Calculation 11 4" xfId="3322" xr:uid="{00000000-0005-0000-0000-0000230D0000}"/>
    <cellStyle name="Calculation 11 5" xfId="3323" xr:uid="{00000000-0005-0000-0000-0000240D0000}"/>
    <cellStyle name="Calculation 11 6" xfId="3324" xr:uid="{00000000-0005-0000-0000-0000250D0000}"/>
    <cellStyle name="Calculation 12" xfId="3325" xr:uid="{00000000-0005-0000-0000-0000260D0000}"/>
    <cellStyle name="Calculation 12 2" xfId="3326" xr:uid="{00000000-0005-0000-0000-0000270D0000}"/>
    <cellStyle name="Calculation 12 2 2" xfId="3327" xr:uid="{00000000-0005-0000-0000-0000280D0000}"/>
    <cellStyle name="Calculation 12 2 3" xfId="3328" xr:uid="{00000000-0005-0000-0000-0000290D0000}"/>
    <cellStyle name="Calculation 12 2 4" xfId="3329" xr:uid="{00000000-0005-0000-0000-00002A0D0000}"/>
    <cellStyle name="Calculation 12 2 5" xfId="3330" xr:uid="{00000000-0005-0000-0000-00002B0D0000}"/>
    <cellStyle name="Calculation 12 3" xfId="3331" xr:uid="{00000000-0005-0000-0000-00002C0D0000}"/>
    <cellStyle name="Calculation 12 4" xfId="3332" xr:uid="{00000000-0005-0000-0000-00002D0D0000}"/>
    <cellStyle name="Calculation 12 5" xfId="3333" xr:uid="{00000000-0005-0000-0000-00002E0D0000}"/>
    <cellStyle name="Calculation 12 6" xfId="3334" xr:uid="{00000000-0005-0000-0000-00002F0D0000}"/>
    <cellStyle name="Calculation 13" xfId="3335" xr:uid="{00000000-0005-0000-0000-0000300D0000}"/>
    <cellStyle name="Calculation 13 2" xfId="3336" xr:uid="{00000000-0005-0000-0000-0000310D0000}"/>
    <cellStyle name="Calculation 13 2 2" xfId="3337" xr:uid="{00000000-0005-0000-0000-0000320D0000}"/>
    <cellStyle name="Calculation 13 2 3" xfId="3338" xr:uid="{00000000-0005-0000-0000-0000330D0000}"/>
    <cellStyle name="Calculation 13 2 4" xfId="3339" xr:uid="{00000000-0005-0000-0000-0000340D0000}"/>
    <cellStyle name="Calculation 13 2 5" xfId="3340" xr:uid="{00000000-0005-0000-0000-0000350D0000}"/>
    <cellStyle name="Calculation 13 3" xfId="3341" xr:uid="{00000000-0005-0000-0000-0000360D0000}"/>
    <cellStyle name="Calculation 13 4" xfId="3342" xr:uid="{00000000-0005-0000-0000-0000370D0000}"/>
    <cellStyle name="Calculation 13 5" xfId="3343" xr:uid="{00000000-0005-0000-0000-0000380D0000}"/>
    <cellStyle name="Calculation 13 6" xfId="3344" xr:uid="{00000000-0005-0000-0000-0000390D0000}"/>
    <cellStyle name="Calculation 14" xfId="3345" xr:uid="{00000000-0005-0000-0000-00003A0D0000}"/>
    <cellStyle name="Calculation 14 2" xfId="3346" xr:uid="{00000000-0005-0000-0000-00003B0D0000}"/>
    <cellStyle name="Calculation 14 2 2" xfId="3347" xr:uid="{00000000-0005-0000-0000-00003C0D0000}"/>
    <cellStyle name="Calculation 14 2 3" xfId="3348" xr:uid="{00000000-0005-0000-0000-00003D0D0000}"/>
    <cellStyle name="Calculation 14 2 4" xfId="3349" xr:uid="{00000000-0005-0000-0000-00003E0D0000}"/>
    <cellStyle name="Calculation 14 2 5" xfId="3350" xr:uid="{00000000-0005-0000-0000-00003F0D0000}"/>
    <cellStyle name="Calculation 14 3" xfId="3351" xr:uid="{00000000-0005-0000-0000-0000400D0000}"/>
    <cellStyle name="Calculation 14 4" xfId="3352" xr:uid="{00000000-0005-0000-0000-0000410D0000}"/>
    <cellStyle name="Calculation 14 5" xfId="3353" xr:uid="{00000000-0005-0000-0000-0000420D0000}"/>
    <cellStyle name="Calculation 14 6" xfId="3354" xr:uid="{00000000-0005-0000-0000-0000430D0000}"/>
    <cellStyle name="Calculation 15" xfId="3355" xr:uid="{00000000-0005-0000-0000-0000440D0000}"/>
    <cellStyle name="Calculation 15 2" xfId="3356" xr:uid="{00000000-0005-0000-0000-0000450D0000}"/>
    <cellStyle name="Calculation 15 2 2" xfId="3357" xr:uid="{00000000-0005-0000-0000-0000460D0000}"/>
    <cellStyle name="Calculation 15 2 3" xfId="3358" xr:uid="{00000000-0005-0000-0000-0000470D0000}"/>
    <cellStyle name="Calculation 15 2 4" xfId="3359" xr:uid="{00000000-0005-0000-0000-0000480D0000}"/>
    <cellStyle name="Calculation 15 2 5" xfId="3360" xr:uid="{00000000-0005-0000-0000-0000490D0000}"/>
    <cellStyle name="Calculation 15 3" xfId="3361" xr:uid="{00000000-0005-0000-0000-00004A0D0000}"/>
    <cellStyle name="Calculation 15 4" xfId="3362" xr:uid="{00000000-0005-0000-0000-00004B0D0000}"/>
    <cellStyle name="Calculation 15 5" xfId="3363" xr:uid="{00000000-0005-0000-0000-00004C0D0000}"/>
    <cellStyle name="Calculation 15 6" xfId="3364" xr:uid="{00000000-0005-0000-0000-00004D0D0000}"/>
    <cellStyle name="Calculation 16" xfId="3365" xr:uid="{00000000-0005-0000-0000-00004E0D0000}"/>
    <cellStyle name="Calculation 16 2" xfId="3366" xr:uid="{00000000-0005-0000-0000-00004F0D0000}"/>
    <cellStyle name="Calculation 16 3" xfId="3367" xr:uid="{00000000-0005-0000-0000-0000500D0000}"/>
    <cellStyle name="Calculation 16 4" xfId="3368" xr:uid="{00000000-0005-0000-0000-0000510D0000}"/>
    <cellStyle name="Calculation 16 5" xfId="3369" xr:uid="{00000000-0005-0000-0000-0000520D0000}"/>
    <cellStyle name="Calculation 17" xfId="3370" xr:uid="{00000000-0005-0000-0000-0000530D0000}"/>
    <cellStyle name="Calculation 18" xfId="3371" xr:uid="{00000000-0005-0000-0000-0000540D0000}"/>
    <cellStyle name="Calculation 19" xfId="3372" xr:uid="{00000000-0005-0000-0000-0000550D0000}"/>
    <cellStyle name="Calculation 2" xfId="3373" xr:uid="{00000000-0005-0000-0000-0000560D0000}"/>
    <cellStyle name="Calculation 2 2" xfId="3374" xr:uid="{00000000-0005-0000-0000-0000570D0000}"/>
    <cellStyle name="Calculation 2 2 2" xfId="3375" xr:uid="{00000000-0005-0000-0000-0000580D0000}"/>
    <cellStyle name="Calculation 2 2 3" xfId="3376" xr:uid="{00000000-0005-0000-0000-0000590D0000}"/>
    <cellStyle name="Calculation 2 2 4" xfId="3377" xr:uid="{00000000-0005-0000-0000-00005A0D0000}"/>
    <cellStyle name="Calculation 2 2 5" xfId="3378" xr:uid="{00000000-0005-0000-0000-00005B0D0000}"/>
    <cellStyle name="Calculation 2 3" xfId="3379" xr:uid="{00000000-0005-0000-0000-00005C0D0000}"/>
    <cellStyle name="Calculation 2 4" xfId="3380" xr:uid="{00000000-0005-0000-0000-00005D0D0000}"/>
    <cellStyle name="Calculation 2 5" xfId="3381" xr:uid="{00000000-0005-0000-0000-00005E0D0000}"/>
    <cellStyle name="Calculation 2 6" xfId="3382" xr:uid="{00000000-0005-0000-0000-00005F0D0000}"/>
    <cellStyle name="Calculation 20" xfId="3383" xr:uid="{00000000-0005-0000-0000-0000600D0000}"/>
    <cellStyle name="Calculation 3" xfId="3384" xr:uid="{00000000-0005-0000-0000-0000610D0000}"/>
    <cellStyle name="Calculation 3 2" xfId="3385" xr:uid="{00000000-0005-0000-0000-0000620D0000}"/>
    <cellStyle name="Calculation 3 2 2" xfId="3386" xr:uid="{00000000-0005-0000-0000-0000630D0000}"/>
    <cellStyle name="Calculation 3 2 3" xfId="3387" xr:uid="{00000000-0005-0000-0000-0000640D0000}"/>
    <cellStyle name="Calculation 3 2 4" xfId="3388" xr:uid="{00000000-0005-0000-0000-0000650D0000}"/>
    <cellStyle name="Calculation 3 2 5" xfId="3389" xr:uid="{00000000-0005-0000-0000-0000660D0000}"/>
    <cellStyle name="Calculation 3 3" xfId="3390" xr:uid="{00000000-0005-0000-0000-0000670D0000}"/>
    <cellStyle name="Calculation 3 4" xfId="3391" xr:uid="{00000000-0005-0000-0000-0000680D0000}"/>
    <cellStyle name="Calculation 3 5" xfId="3392" xr:uid="{00000000-0005-0000-0000-0000690D0000}"/>
    <cellStyle name="Calculation 3 6" xfId="3393" xr:uid="{00000000-0005-0000-0000-00006A0D0000}"/>
    <cellStyle name="Calculation 4" xfId="3394" xr:uid="{00000000-0005-0000-0000-00006B0D0000}"/>
    <cellStyle name="Calculation 4 2" xfId="3395" xr:uid="{00000000-0005-0000-0000-00006C0D0000}"/>
    <cellStyle name="Calculation 4 2 2" xfId="3396" xr:uid="{00000000-0005-0000-0000-00006D0D0000}"/>
    <cellStyle name="Calculation 4 2 3" xfId="3397" xr:uid="{00000000-0005-0000-0000-00006E0D0000}"/>
    <cellStyle name="Calculation 4 2 4" xfId="3398" xr:uid="{00000000-0005-0000-0000-00006F0D0000}"/>
    <cellStyle name="Calculation 4 2 5" xfId="3399" xr:uid="{00000000-0005-0000-0000-0000700D0000}"/>
    <cellStyle name="Calculation 4 3" xfId="3400" xr:uid="{00000000-0005-0000-0000-0000710D0000}"/>
    <cellStyle name="Calculation 4 4" xfId="3401" xr:uid="{00000000-0005-0000-0000-0000720D0000}"/>
    <cellStyle name="Calculation 4 5" xfId="3402" xr:uid="{00000000-0005-0000-0000-0000730D0000}"/>
    <cellStyle name="Calculation 4 6" xfId="3403" xr:uid="{00000000-0005-0000-0000-0000740D0000}"/>
    <cellStyle name="Calculation 5" xfId="3404" xr:uid="{00000000-0005-0000-0000-0000750D0000}"/>
    <cellStyle name="Calculation 5 2" xfId="3405" xr:uid="{00000000-0005-0000-0000-0000760D0000}"/>
    <cellStyle name="Calculation 5 2 2" xfId="3406" xr:uid="{00000000-0005-0000-0000-0000770D0000}"/>
    <cellStyle name="Calculation 5 2 3" xfId="3407" xr:uid="{00000000-0005-0000-0000-0000780D0000}"/>
    <cellStyle name="Calculation 5 2 4" xfId="3408" xr:uid="{00000000-0005-0000-0000-0000790D0000}"/>
    <cellStyle name="Calculation 5 2 5" xfId="3409" xr:uid="{00000000-0005-0000-0000-00007A0D0000}"/>
    <cellStyle name="Calculation 5 3" xfId="3410" xr:uid="{00000000-0005-0000-0000-00007B0D0000}"/>
    <cellStyle name="Calculation 5 4" xfId="3411" xr:uid="{00000000-0005-0000-0000-00007C0D0000}"/>
    <cellStyle name="Calculation 5 5" xfId="3412" xr:uid="{00000000-0005-0000-0000-00007D0D0000}"/>
    <cellStyle name="Calculation 5 6" xfId="3413" xr:uid="{00000000-0005-0000-0000-00007E0D0000}"/>
    <cellStyle name="Calculation 6" xfId="3414" xr:uid="{00000000-0005-0000-0000-00007F0D0000}"/>
    <cellStyle name="Calculation 6 2" xfId="3415" xr:uid="{00000000-0005-0000-0000-0000800D0000}"/>
    <cellStyle name="Calculation 6 2 2" xfId="3416" xr:uid="{00000000-0005-0000-0000-0000810D0000}"/>
    <cellStyle name="Calculation 6 2 3" xfId="3417" xr:uid="{00000000-0005-0000-0000-0000820D0000}"/>
    <cellStyle name="Calculation 6 2 4" xfId="3418" xr:uid="{00000000-0005-0000-0000-0000830D0000}"/>
    <cellStyle name="Calculation 6 2 5" xfId="3419" xr:uid="{00000000-0005-0000-0000-0000840D0000}"/>
    <cellStyle name="Calculation 6 3" xfId="3420" xr:uid="{00000000-0005-0000-0000-0000850D0000}"/>
    <cellStyle name="Calculation 6 4" xfId="3421" xr:uid="{00000000-0005-0000-0000-0000860D0000}"/>
    <cellStyle name="Calculation 6 5" xfId="3422" xr:uid="{00000000-0005-0000-0000-0000870D0000}"/>
    <cellStyle name="Calculation 6 6" xfId="3423" xr:uid="{00000000-0005-0000-0000-0000880D0000}"/>
    <cellStyle name="Calculation 7" xfId="3424" xr:uid="{00000000-0005-0000-0000-0000890D0000}"/>
    <cellStyle name="Calculation 7 2" xfId="3425" xr:uid="{00000000-0005-0000-0000-00008A0D0000}"/>
    <cellStyle name="Calculation 7 2 2" xfId="3426" xr:uid="{00000000-0005-0000-0000-00008B0D0000}"/>
    <cellStyle name="Calculation 7 2 3" xfId="3427" xr:uid="{00000000-0005-0000-0000-00008C0D0000}"/>
    <cellStyle name="Calculation 7 2 4" xfId="3428" xr:uid="{00000000-0005-0000-0000-00008D0D0000}"/>
    <cellStyle name="Calculation 7 2 5" xfId="3429" xr:uid="{00000000-0005-0000-0000-00008E0D0000}"/>
    <cellStyle name="Calculation 7 3" xfId="3430" xr:uid="{00000000-0005-0000-0000-00008F0D0000}"/>
    <cellStyle name="Calculation 7 4" xfId="3431" xr:uid="{00000000-0005-0000-0000-0000900D0000}"/>
    <cellStyle name="Calculation 7 5" xfId="3432" xr:uid="{00000000-0005-0000-0000-0000910D0000}"/>
    <cellStyle name="Calculation 7 6" xfId="3433" xr:uid="{00000000-0005-0000-0000-0000920D0000}"/>
    <cellStyle name="Calculation 8" xfId="3434" xr:uid="{00000000-0005-0000-0000-0000930D0000}"/>
    <cellStyle name="Calculation 8 2" xfId="3435" xr:uid="{00000000-0005-0000-0000-0000940D0000}"/>
    <cellStyle name="Calculation 8 2 2" xfId="3436" xr:uid="{00000000-0005-0000-0000-0000950D0000}"/>
    <cellStyle name="Calculation 8 2 3" xfId="3437" xr:uid="{00000000-0005-0000-0000-0000960D0000}"/>
    <cellStyle name="Calculation 8 2 4" xfId="3438" xr:uid="{00000000-0005-0000-0000-0000970D0000}"/>
    <cellStyle name="Calculation 8 2 5" xfId="3439" xr:uid="{00000000-0005-0000-0000-0000980D0000}"/>
    <cellStyle name="Calculation 8 3" xfId="3440" xr:uid="{00000000-0005-0000-0000-0000990D0000}"/>
    <cellStyle name="Calculation 8 4" xfId="3441" xr:uid="{00000000-0005-0000-0000-00009A0D0000}"/>
    <cellStyle name="Calculation 8 5" xfId="3442" xr:uid="{00000000-0005-0000-0000-00009B0D0000}"/>
    <cellStyle name="Calculation 8 6" xfId="3443" xr:uid="{00000000-0005-0000-0000-00009C0D0000}"/>
    <cellStyle name="Calculation 9" xfId="3444" xr:uid="{00000000-0005-0000-0000-00009D0D0000}"/>
    <cellStyle name="Calculation 9 2" xfId="3445" xr:uid="{00000000-0005-0000-0000-00009E0D0000}"/>
    <cellStyle name="Calculation 9 2 2" xfId="3446" xr:uid="{00000000-0005-0000-0000-00009F0D0000}"/>
    <cellStyle name="Calculation 9 2 3" xfId="3447" xr:uid="{00000000-0005-0000-0000-0000A00D0000}"/>
    <cellStyle name="Calculation 9 2 4" xfId="3448" xr:uid="{00000000-0005-0000-0000-0000A10D0000}"/>
    <cellStyle name="Calculation 9 2 5" xfId="3449" xr:uid="{00000000-0005-0000-0000-0000A20D0000}"/>
    <cellStyle name="Calculation 9 3" xfId="3450" xr:uid="{00000000-0005-0000-0000-0000A30D0000}"/>
    <cellStyle name="Calculation 9 4" xfId="3451" xr:uid="{00000000-0005-0000-0000-0000A40D0000}"/>
    <cellStyle name="Calculation 9 5" xfId="3452" xr:uid="{00000000-0005-0000-0000-0000A50D0000}"/>
    <cellStyle name="Calculation 9 6" xfId="3453" xr:uid="{00000000-0005-0000-0000-0000A60D0000}"/>
    <cellStyle name="Cálculo" xfId="3454" xr:uid="{00000000-0005-0000-0000-0000A70D0000}"/>
    <cellStyle name="Cálculo 10" xfId="3455" xr:uid="{00000000-0005-0000-0000-0000A80D0000}"/>
    <cellStyle name="Cálculo 10 2" xfId="3456" xr:uid="{00000000-0005-0000-0000-0000A90D0000}"/>
    <cellStyle name="Cálculo 10 2 2" xfId="3457" xr:uid="{00000000-0005-0000-0000-0000AA0D0000}"/>
    <cellStyle name="Cálculo 10 2 3" xfId="3458" xr:uid="{00000000-0005-0000-0000-0000AB0D0000}"/>
    <cellStyle name="Cálculo 10 2 4" xfId="3459" xr:uid="{00000000-0005-0000-0000-0000AC0D0000}"/>
    <cellStyle name="Cálculo 10 2 5" xfId="3460" xr:uid="{00000000-0005-0000-0000-0000AD0D0000}"/>
    <cellStyle name="Cálculo 10 3" xfId="3461" xr:uid="{00000000-0005-0000-0000-0000AE0D0000}"/>
    <cellStyle name="Cálculo 10 4" xfId="3462" xr:uid="{00000000-0005-0000-0000-0000AF0D0000}"/>
    <cellStyle name="Cálculo 10 5" xfId="3463" xr:uid="{00000000-0005-0000-0000-0000B00D0000}"/>
    <cellStyle name="Cálculo 10 6" xfId="3464" xr:uid="{00000000-0005-0000-0000-0000B10D0000}"/>
    <cellStyle name="Cálculo 11" xfId="3465" xr:uid="{00000000-0005-0000-0000-0000B20D0000}"/>
    <cellStyle name="Cálculo 11 2" xfId="3466" xr:uid="{00000000-0005-0000-0000-0000B30D0000}"/>
    <cellStyle name="Cálculo 11 2 2" xfId="3467" xr:uid="{00000000-0005-0000-0000-0000B40D0000}"/>
    <cellStyle name="Cálculo 11 2 3" xfId="3468" xr:uid="{00000000-0005-0000-0000-0000B50D0000}"/>
    <cellStyle name="Cálculo 11 2 4" xfId="3469" xr:uid="{00000000-0005-0000-0000-0000B60D0000}"/>
    <cellStyle name="Cálculo 11 2 5" xfId="3470" xr:uid="{00000000-0005-0000-0000-0000B70D0000}"/>
    <cellStyle name="Cálculo 11 3" xfId="3471" xr:uid="{00000000-0005-0000-0000-0000B80D0000}"/>
    <cellStyle name="Cálculo 11 4" xfId="3472" xr:uid="{00000000-0005-0000-0000-0000B90D0000}"/>
    <cellStyle name="Cálculo 11 5" xfId="3473" xr:uid="{00000000-0005-0000-0000-0000BA0D0000}"/>
    <cellStyle name="Cálculo 11 6" xfId="3474" xr:uid="{00000000-0005-0000-0000-0000BB0D0000}"/>
    <cellStyle name="Cálculo 12" xfId="3475" xr:uid="{00000000-0005-0000-0000-0000BC0D0000}"/>
    <cellStyle name="Cálculo 12 2" xfId="3476" xr:uid="{00000000-0005-0000-0000-0000BD0D0000}"/>
    <cellStyle name="Cálculo 12 2 2" xfId="3477" xr:uid="{00000000-0005-0000-0000-0000BE0D0000}"/>
    <cellStyle name="Cálculo 12 2 3" xfId="3478" xr:uid="{00000000-0005-0000-0000-0000BF0D0000}"/>
    <cellStyle name="Cálculo 12 2 4" xfId="3479" xr:uid="{00000000-0005-0000-0000-0000C00D0000}"/>
    <cellStyle name="Cálculo 12 2 5" xfId="3480" xr:uid="{00000000-0005-0000-0000-0000C10D0000}"/>
    <cellStyle name="Cálculo 12 3" xfId="3481" xr:uid="{00000000-0005-0000-0000-0000C20D0000}"/>
    <cellStyle name="Cálculo 12 4" xfId="3482" xr:uid="{00000000-0005-0000-0000-0000C30D0000}"/>
    <cellStyle name="Cálculo 12 5" xfId="3483" xr:uid="{00000000-0005-0000-0000-0000C40D0000}"/>
    <cellStyle name="Cálculo 12 6" xfId="3484" xr:uid="{00000000-0005-0000-0000-0000C50D0000}"/>
    <cellStyle name="Cálculo 13" xfId="3485" xr:uid="{00000000-0005-0000-0000-0000C60D0000}"/>
    <cellStyle name="Cálculo 13 2" xfId="3486" xr:uid="{00000000-0005-0000-0000-0000C70D0000}"/>
    <cellStyle name="Cálculo 13 2 2" xfId="3487" xr:uid="{00000000-0005-0000-0000-0000C80D0000}"/>
    <cellStyle name="Cálculo 13 2 3" xfId="3488" xr:uid="{00000000-0005-0000-0000-0000C90D0000}"/>
    <cellStyle name="Cálculo 13 2 4" xfId="3489" xr:uid="{00000000-0005-0000-0000-0000CA0D0000}"/>
    <cellStyle name="Cálculo 13 2 5" xfId="3490" xr:uid="{00000000-0005-0000-0000-0000CB0D0000}"/>
    <cellStyle name="Cálculo 13 3" xfId="3491" xr:uid="{00000000-0005-0000-0000-0000CC0D0000}"/>
    <cellStyle name="Cálculo 13 4" xfId="3492" xr:uid="{00000000-0005-0000-0000-0000CD0D0000}"/>
    <cellStyle name="Cálculo 13 5" xfId="3493" xr:uid="{00000000-0005-0000-0000-0000CE0D0000}"/>
    <cellStyle name="Cálculo 13 6" xfId="3494" xr:uid="{00000000-0005-0000-0000-0000CF0D0000}"/>
    <cellStyle name="Cálculo 14" xfId="3495" xr:uid="{00000000-0005-0000-0000-0000D00D0000}"/>
    <cellStyle name="Cálculo 14 2" xfId="3496" xr:uid="{00000000-0005-0000-0000-0000D10D0000}"/>
    <cellStyle name="Cálculo 14 2 2" xfId="3497" xr:uid="{00000000-0005-0000-0000-0000D20D0000}"/>
    <cellStyle name="Cálculo 14 2 3" xfId="3498" xr:uid="{00000000-0005-0000-0000-0000D30D0000}"/>
    <cellStyle name="Cálculo 14 2 4" xfId="3499" xr:uid="{00000000-0005-0000-0000-0000D40D0000}"/>
    <cellStyle name="Cálculo 14 2 5" xfId="3500" xr:uid="{00000000-0005-0000-0000-0000D50D0000}"/>
    <cellStyle name="Cálculo 14 3" xfId="3501" xr:uid="{00000000-0005-0000-0000-0000D60D0000}"/>
    <cellStyle name="Cálculo 14 4" xfId="3502" xr:uid="{00000000-0005-0000-0000-0000D70D0000}"/>
    <cellStyle name="Cálculo 14 5" xfId="3503" xr:uid="{00000000-0005-0000-0000-0000D80D0000}"/>
    <cellStyle name="Cálculo 14 6" xfId="3504" xr:uid="{00000000-0005-0000-0000-0000D90D0000}"/>
    <cellStyle name="Cálculo 15" xfId="3505" xr:uid="{00000000-0005-0000-0000-0000DA0D0000}"/>
    <cellStyle name="Cálculo 15 2" xfId="3506" xr:uid="{00000000-0005-0000-0000-0000DB0D0000}"/>
    <cellStyle name="Cálculo 15 2 2" xfId="3507" xr:uid="{00000000-0005-0000-0000-0000DC0D0000}"/>
    <cellStyle name="Cálculo 15 2 3" xfId="3508" xr:uid="{00000000-0005-0000-0000-0000DD0D0000}"/>
    <cellStyle name="Cálculo 15 2 4" xfId="3509" xr:uid="{00000000-0005-0000-0000-0000DE0D0000}"/>
    <cellStyle name="Cálculo 15 2 5" xfId="3510" xr:uid="{00000000-0005-0000-0000-0000DF0D0000}"/>
    <cellStyle name="Cálculo 15 3" xfId="3511" xr:uid="{00000000-0005-0000-0000-0000E00D0000}"/>
    <cellStyle name="Cálculo 15 4" xfId="3512" xr:uid="{00000000-0005-0000-0000-0000E10D0000}"/>
    <cellStyle name="Cálculo 15 5" xfId="3513" xr:uid="{00000000-0005-0000-0000-0000E20D0000}"/>
    <cellStyle name="Cálculo 15 6" xfId="3514" xr:uid="{00000000-0005-0000-0000-0000E30D0000}"/>
    <cellStyle name="Cálculo 16" xfId="3515" xr:uid="{00000000-0005-0000-0000-0000E40D0000}"/>
    <cellStyle name="Cálculo 16 2" xfId="3516" xr:uid="{00000000-0005-0000-0000-0000E50D0000}"/>
    <cellStyle name="Cálculo 16 2 2" xfId="3517" xr:uid="{00000000-0005-0000-0000-0000E60D0000}"/>
    <cellStyle name="Cálculo 16 2 3" xfId="3518" xr:uid="{00000000-0005-0000-0000-0000E70D0000}"/>
    <cellStyle name="Cálculo 16 2 4" xfId="3519" xr:uid="{00000000-0005-0000-0000-0000E80D0000}"/>
    <cellStyle name="Cálculo 16 2 5" xfId="3520" xr:uid="{00000000-0005-0000-0000-0000E90D0000}"/>
    <cellStyle name="Cálculo 16 3" xfId="3521" xr:uid="{00000000-0005-0000-0000-0000EA0D0000}"/>
    <cellStyle name="Cálculo 16 4" xfId="3522" xr:uid="{00000000-0005-0000-0000-0000EB0D0000}"/>
    <cellStyle name="Cálculo 16 5" xfId="3523" xr:uid="{00000000-0005-0000-0000-0000EC0D0000}"/>
    <cellStyle name="Cálculo 16 6" xfId="3524" xr:uid="{00000000-0005-0000-0000-0000ED0D0000}"/>
    <cellStyle name="Cálculo 17" xfId="3525" xr:uid="{00000000-0005-0000-0000-0000EE0D0000}"/>
    <cellStyle name="Cálculo 17 2" xfId="3526" xr:uid="{00000000-0005-0000-0000-0000EF0D0000}"/>
    <cellStyle name="Cálculo 17 2 2" xfId="3527" xr:uid="{00000000-0005-0000-0000-0000F00D0000}"/>
    <cellStyle name="Cálculo 17 2 3" xfId="3528" xr:uid="{00000000-0005-0000-0000-0000F10D0000}"/>
    <cellStyle name="Cálculo 17 2 4" xfId="3529" xr:uid="{00000000-0005-0000-0000-0000F20D0000}"/>
    <cellStyle name="Cálculo 17 2 5" xfId="3530" xr:uid="{00000000-0005-0000-0000-0000F30D0000}"/>
    <cellStyle name="Cálculo 17 3" xfId="3531" xr:uid="{00000000-0005-0000-0000-0000F40D0000}"/>
    <cellStyle name="Cálculo 17 4" xfId="3532" xr:uid="{00000000-0005-0000-0000-0000F50D0000}"/>
    <cellStyle name="Cálculo 17 5" xfId="3533" xr:uid="{00000000-0005-0000-0000-0000F60D0000}"/>
    <cellStyle name="Cálculo 17 6" xfId="3534" xr:uid="{00000000-0005-0000-0000-0000F70D0000}"/>
    <cellStyle name="Cálculo 18" xfId="3535" xr:uid="{00000000-0005-0000-0000-0000F80D0000}"/>
    <cellStyle name="Cálculo 18 2" xfId="3536" xr:uid="{00000000-0005-0000-0000-0000F90D0000}"/>
    <cellStyle name="Cálculo 18 2 2" xfId="3537" xr:uid="{00000000-0005-0000-0000-0000FA0D0000}"/>
    <cellStyle name="Cálculo 18 2 3" xfId="3538" xr:uid="{00000000-0005-0000-0000-0000FB0D0000}"/>
    <cellStyle name="Cálculo 18 2 4" xfId="3539" xr:uid="{00000000-0005-0000-0000-0000FC0D0000}"/>
    <cellStyle name="Cálculo 18 2 5" xfId="3540" xr:uid="{00000000-0005-0000-0000-0000FD0D0000}"/>
    <cellStyle name="Cálculo 18 3" xfId="3541" xr:uid="{00000000-0005-0000-0000-0000FE0D0000}"/>
    <cellStyle name="Cálculo 18 4" xfId="3542" xr:uid="{00000000-0005-0000-0000-0000FF0D0000}"/>
    <cellStyle name="Cálculo 18 5" xfId="3543" xr:uid="{00000000-0005-0000-0000-0000000E0000}"/>
    <cellStyle name="Cálculo 18 6" xfId="3544" xr:uid="{00000000-0005-0000-0000-0000010E0000}"/>
    <cellStyle name="Cálculo 19" xfId="3545" xr:uid="{00000000-0005-0000-0000-0000020E0000}"/>
    <cellStyle name="Cálculo 19 2" xfId="3546" xr:uid="{00000000-0005-0000-0000-0000030E0000}"/>
    <cellStyle name="Cálculo 19 3" xfId="3547" xr:uid="{00000000-0005-0000-0000-0000040E0000}"/>
    <cellStyle name="Cálculo 19 4" xfId="3548" xr:uid="{00000000-0005-0000-0000-0000050E0000}"/>
    <cellStyle name="Cálculo 19 5" xfId="3549" xr:uid="{00000000-0005-0000-0000-0000060E0000}"/>
    <cellStyle name="Cálculo 2" xfId="3550" xr:uid="{00000000-0005-0000-0000-0000070E0000}"/>
    <cellStyle name="Cálculo 2 2" xfId="3551" xr:uid="{00000000-0005-0000-0000-0000080E0000}"/>
    <cellStyle name="Cálculo 2 2 2" xfId="3552" xr:uid="{00000000-0005-0000-0000-0000090E0000}"/>
    <cellStyle name="Cálculo 2 2 3" xfId="3553" xr:uid="{00000000-0005-0000-0000-00000A0E0000}"/>
    <cellStyle name="Cálculo 2 2 4" xfId="3554" xr:uid="{00000000-0005-0000-0000-00000B0E0000}"/>
    <cellStyle name="Cálculo 2 2 5" xfId="3555" xr:uid="{00000000-0005-0000-0000-00000C0E0000}"/>
    <cellStyle name="Cálculo 2 3" xfId="3556" xr:uid="{00000000-0005-0000-0000-00000D0E0000}"/>
    <cellStyle name="Cálculo 2 4" xfId="3557" xr:uid="{00000000-0005-0000-0000-00000E0E0000}"/>
    <cellStyle name="Cálculo 2 5" xfId="3558" xr:uid="{00000000-0005-0000-0000-00000F0E0000}"/>
    <cellStyle name="Cálculo 2 6" xfId="3559" xr:uid="{00000000-0005-0000-0000-0000100E0000}"/>
    <cellStyle name="Cálculo 20" xfId="3560" xr:uid="{00000000-0005-0000-0000-0000110E0000}"/>
    <cellStyle name="Cálculo 21" xfId="3561" xr:uid="{00000000-0005-0000-0000-0000120E0000}"/>
    <cellStyle name="Cálculo 22" xfId="3562" xr:uid="{00000000-0005-0000-0000-0000130E0000}"/>
    <cellStyle name="Cálculo 23" xfId="3563" xr:uid="{00000000-0005-0000-0000-0000140E0000}"/>
    <cellStyle name="Cálculo 3" xfId="3564" xr:uid="{00000000-0005-0000-0000-0000150E0000}"/>
    <cellStyle name="Cálculo 3 2" xfId="3565" xr:uid="{00000000-0005-0000-0000-0000160E0000}"/>
    <cellStyle name="Cálculo 3 2 2" xfId="3566" xr:uid="{00000000-0005-0000-0000-0000170E0000}"/>
    <cellStyle name="Cálculo 3 2 3" xfId="3567" xr:uid="{00000000-0005-0000-0000-0000180E0000}"/>
    <cellStyle name="Cálculo 3 2 4" xfId="3568" xr:uid="{00000000-0005-0000-0000-0000190E0000}"/>
    <cellStyle name="Cálculo 3 2 5" xfId="3569" xr:uid="{00000000-0005-0000-0000-00001A0E0000}"/>
    <cellStyle name="Cálculo 3 3" xfId="3570" xr:uid="{00000000-0005-0000-0000-00001B0E0000}"/>
    <cellStyle name="Cálculo 3 4" xfId="3571" xr:uid="{00000000-0005-0000-0000-00001C0E0000}"/>
    <cellStyle name="Cálculo 3 5" xfId="3572" xr:uid="{00000000-0005-0000-0000-00001D0E0000}"/>
    <cellStyle name="Cálculo 3 6" xfId="3573" xr:uid="{00000000-0005-0000-0000-00001E0E0000}"/>
    <cellStyle name="Cálculo 4" xfId="3574" xr:uid="{00000000-0005-0000-0000-00001F0E0000}"/>
    <cellStyle name="Cálculo 4 2" xfId="3575" xr:uid="{00000000-0005-0000-0000-0000200E0000}"/>
    <cellStyle name="Cálculo 4 2 2" xfId="3576" xr:uid="{00000000-0005-0000-0000-0000210E0000}"/>
    <cellStyle name="Cálculo 4 2 3" xfId="3577" xr:uid="{00000000-0005-0000-0000-0000220E0000}"/>
    <cellStyle name="Cálculo 4 2 4" xfId="3578" xr:uid="{00000000-0005-0000-0000-0000230E0000}"/>
    <cellStyle name="Cálculo 4 2 5" xfId="3579" xr:uid="{00000000-0005-0000-0000-0000240E0000}"/>
    <cellStyle name="Cálculo 4 3" xfId="3580" xr:uid="{00000000-0005-0000-0000-0000250E0000}"/>
    <cellStyle name="Cálculo 4 4" xfId="3581" xr:uid="{00000000-0005-0000-0000-0000260E0000}"/>
    <cellStyle name="Cálculo 4 5" xfId="3582" xr:uid="{00000000-0005-0000-0000-0000270E0000}"/>
    <cellStyle name="Cálculo 4 6" xfId="3583" xr:uid="{00000000-0005-0000-0000-0000280E0000}"/>
    <cellStyle name="Cálculo 5" xfId="3584" xr:uid="{00000000-0005-0000-0000-0000290E0000}"/>
    <cellStyle name="Cálculo 5 2" xfId="3585" xr:uid="{00000000-0005-0000-0000-00002A0E0000}"/>
    <cellStyle name="Cálculo 5 2 2" xfId="3586" xr:uid="{00000000-0005-0000-0000-00002B0E0000}"/>
    <cellStyle name="Cálculo 5 2 3" xfId="3587" xr:uid="{00000000-0005-0000-0000-00002C0E0000}"/>
    <cellStyle name="Cálculo 5 2 4" xfId="3588" xr:uid="{00000000-0005-0000-0000-00002D0E0000}"/>
    <cellStyle name="Cálculo 5 2 5" xfId="3589" xr:uid="{00000000-0005-0000-0000-00002E0E0000}"/>
    <cellStyle name="Cálculo 5 3" xfId="3590" xr:uid="{00000000-0005-0000-0000-00002F0E0000}"/>
    <cellStyle name="Cálculo 5 4" xfId="3591" xr:uid="{00000000-0005-0000-0000-0000300E0000}"/>
    <cellStyle name="Cálculo 5 5" xfId="3592" xr:uid="{00000000-0005-0000-0000-0000310E0000}"/>
    <cellStyle name="Cálculo 5 6" xfId="3593" xr:uid="{00000000-0005-0000-0000-0000320E0000}"/>
    <cellStyle name="Cálculo 6" xfId="3594" xr:uid="{00000000-0005-0000-0000-0000330E0000}"/>
    <cellStyle name="Cálculo 6 2" xfId="3595" xr:uid="{00000000-0005-0000-0000-0000340E0000}"/>
    <cellStyle name="Cálculo 6 2 2" xfId="3596" xr:uid="{00000000-0005-0000-0000-0000350E0000}"/>
    <cellStyle name="Cálculo 6 2 3" xfId="3597" xr:uid="{00000000-0005-0000-0000-0000360E0000}"/>
    <cellStyle name="Cálculo 6 2 4" xfId="3598" xr:uid="{00000000-0005-0000-0000-0000370E0000}"/>
    <cellStyle name="Cálculo 6 2 5" xfId="3599" xr:uid="{00000000-0005-0000-0000-0000380E0000}"/>
    <cellStyle name="Cálculo 6 3" xfId="3600" xr:uid="{00000000-0005-0000-0000-0000390E0000}"/>
    <cellStyle name="Cálculo 6 4" xfId="3601" xr:uid="{00000000-0005-0000-0000-00003A0E0000}"/>
    <cellStyle name="Cálculo 6 5" xfId="3602" xr:uid="{00000000-0005-0000-0000-00003B0E0000}"/>
    <cellStyle name="Cálculo 6 6" xfId="3603" xr:uid="{00000000-0005-0000-0000-00003C0E0000}"/>
    <cellStyle name="Cálculo 7" xfId="3604" xr:uid="{00000000-0005-0000-0000-00003D0E0000}"/>
    <cellStyle name="Cálculo 7 2" xfId="3605" xr:uid="{00000000-0005-0000-0000-00003E0E0000}"/>
    <cellStyle name="Cálculo 7 2 2" xfId="3606" xr:uid="{00000000-0005-0000-0000-00003F0E0000}"/>
    <cellStyle name="Cálculo 7 2 3" xfId="3607" xr:uid="{00000000-0005-0000-0000-0000400E0000}"/>
    <cellStyle name="Cálculo 7 2 4" xfId="3608" xr:uid="{00000000-0005-0000-0000-0000410E0000}"/>
    <cellStyle name="Cálculo 7 2 5" xfId="3609" xr:uid="{00000000-0005-0000-0000-0000420E0000}"/>
    <cellStyle name="Cálculo 7 3" xfId="3610" xr:uid="{00000000-0005-0000-0000-0000430E0000}"/>
    <cellStyle name="Cálculo 7 4" xfId="3611" xr:uid="{00000000-0005-0000-0000-0000440E0000}"/>
    <cellStyle name="Cálculo 7 5" xfId="3612" xr:uid="{00000000-0005-0000-0000-0000450E0000}"/>
    <cellStyle name="Cálculo 7 6" xfId="3613" xr:uid="{00000000-0005-0000-0000-0000460E0000}"/>
    <cellStyle name="Cálculo 8" xfId="3614" xr:uid="{00000000-0005-0000-0000-0000470E0000}"/>
    <cellStyle name="Cálculo 8 2" xfId="3615" xr:uid="{00000000-0005-0000-0000-0000480E0000}"/>
    <cellStyle name="Cálculo 8 2 2" xfId="3616" xr:uid="{00000000-0005-0000-0000-0000490E0000}"/>
    <cellStyle name="Cálculo 8 2 3" xfId="3617" xr:uid="{00000000-0005-0000-0000-00004A0E0000}"/>
    <cellStyle name="Cálculo 8 2 4" xfId="3618" xr:uid="{00000000-0005-0000-0000-00004B0E0000}"/>
    <cellStyle name="Cálculo 8 2 5" xfId="3619" xr:uid="{00000000-0005-0000-0000-00004C0E0000}"/>
    <cellStyle name="Cálculo 8 3" xfId="3620" xr:uid="{00000000-0005-0000-0000-00004D0E0000}"/>
    <cellStyle name="Cálculo 8 4" xfId="3621" xr:uid="{00000000-0005-0000-0000-00004E0E0000}"/>
    <cellStyle name="Cálculo 8 5" xfId="3622" xr:uid="{00000000-0005-0000-0000-00004F0E0000}"/>
    <cellStyle name="Cálculo 8 6" xfId="3623" xr:uid="{00000000-0005-0000-0000-0000500E0000}"/>
    <cellStyle name="Cálculo 9" xfId="3624" xr:uid="{00000000-0005-0000-0000-0000510E0000}"/>
    <cellStyle name="Cálculo 9 2" xfId="3625" xr:uid="{00000000-0005-0000-0000-0000520E0000}"/>
    <cellStyle name="Cálculo 9 2 2" xfId="3626" xr:uid="{00000000-0005-0000-0000-0000530E0000}"/>
    <cellStyle name="Cálculo 9 2 3" xfId="3627" xr:uid="{00000000-0005-0000-0000-0000540E0000}"/>
    <cellStyle name="Cálculo 9 2 4" xfId="3628" xr:uid="{00000000-0005-0000-0000-0000550E0000}"/>
    <cellStyle name="Cálculo 9 2 5" xfId="3629" xr:uid="{00000000-0005-0000-0000-0000560E0000}"/>
    <cellStyle name="Cálculo 9 3" xfId="3630" xr:uid="{00000000-0005-0000-0000-0000570E0000}"/>
    <cellStyle name="Cálculo 9 4" xfId="3631" xr:uid="{00000000-0005-0000-0000-0000580E0000}"/>
    <cellStyle name="Cálculo 9 5" xfId="3632" xr:uid="{00000000-0005-0000-0000-0000590E0000}"/>
    <cellStyle name="Cálculo 9 6" xfId="3633" xr:uid="{00000000-0005-0000-0000-00005A0E0000}"/>
    <cellStyle name="Cálculo_KTR An-Abflug" xfId="14837" xr:uid="{00000000-0005-0000-0000-00005B0E0000}"/>
    <cellStyle name="CalculYellow" xfId="3634" xr:uid="{00000000-0005-0000-0000-00005C0E0000}"/>
    <cellStyle name="Cat. A" xfId="3635" xr:uid="{00000000-0005-0000-0000-00005D0E0000}"/>
    <cellStyle name="Cat. B" xfId="3636" xr:uid="{00000000-0005-0000-0000-00005E0E0000}"/>
    <cellStyle name="Cat. C" xfId="3637" xr:uid="{00000000-0005-0000-0000-00005F0E0000}"/>
    <cellStyle name="Cat. D" xfId="3638" xr:uid="{00000000-0005-0000-0000-0000600E0000}"/>
    <cellStyle name="Celda de comprobación" xfId="3639" xr:uid="{00000000-0005-0000-0000-0000610E0000}"/>
    <cellStyle name="Celda vinculada" xfId="3640" xr:uid="{00000000-0005-0000-0000-0000620E0000}"/>
    <cellStyle name="Celkem" xfId="3641" xr:uid="{00000000-0005-0000-0000-0000630E0000}"/>
    <cellStyle name="Celkem 2" xfId="3642" xr:uid="{00000000-0005-0000-0000-0000640E0000}"/>
    <cellStyle name="Celkem 3" xfId="3643" xr:uid="{00000000-0005-0000-0000-0000650E0000}"/>
    <cellStyle name="Cella collegata 2" xfId="3644" xr:uid="{00000000-0005-0000-0000-0000660E0000}"/>
    <cellStyle name="Cella collegata 3" xfId="3645" xr:uid="{00000000-0005-0000-0000-0000670E0000}"/>
    <cellStyle name="Cella da controllare 2" xfId="3646" xr:uid="{00000000-0005-0000-0000-0000680E0000}"/>
    <cellStyle name="Cella da controllare 3" xfId="3647" xr:uid="{00000000-0005-0000-0000-0000690E0000}"/>
    <cellStyle name="Cellule liée 2" xfId="3648" xr:uid="{00000000-0005-0000-0000-00006A0E0000}"/>
    <cellStyle name="Cellule liée 2 2" xfId="3649" xr:uid="{00000000-0005-0000-0000-00006B0E0000}"/>
    <cellStyle name="Cellule liée 2_130725 DSNA 2011 Dossier de révision initial" xfId="3650" xr:uid="{00000000-0005-0000-0000-00006C0E0000}"/>
    <cellStyle name="Cellule liée 3" xfId="3651" xr:uid="{00000000-0005-0000-0000-00006D0E0000}"/>
    <cellStyle name="Cellule liée 3 2" xfId="3652" xr:uid="{00000000-0005-0000-0000-00006E0E0000}"/>
    <cellStyle name="Cellule liée 4" xfId="3653" xr:uid="{00000000-0005-0000-0000-00006F0E0000}"/>
    <cellStyle name="Cellule liée 4 2" xfId="3654" xr:uid="{00000000-0005-0000-0000-0000700E0000}"/>
    <cellStyle name="Cellule liée 5" xfId="3655" xr:uid="{00000000-0005-0000-0000-0000710E0000}"/>
    <cellStyle name="Chap" xfId="3656" xr:uid="{00000000-0005-0000-0000-0000720E0000}"/>
    <cellStyle name="Check Box" xfId="3657" xr:uid="{00000000-0005-0000-0000-0000730E0000}"/>
    <cellStyle name="Check Box Input" xfId="3658" xr:uid="{00000000-0005-0000-0000-0000740E0000}"/>
    <cellStyle name="Check Box_First Capital Connect Financial Model" xfId="3659" xr:uid="{00000000-0005-0000-0000-0000750E0000}"/>
    <cellStyle name="Check Cell" xfId="14665" xr:uid="{00000000-0005-0000-0000-0000760E0000}"/>
    <cellStyle name="Check Cell 2" xfId="3660" xr:uid="{00000000-0005-0000-0000-0000770E0000}"/>
    <cellStyle name="Check Cell_KTR An-Abflug" xfId="3661" xr:uid="{00000000-0005-0000-0000-0000780E0000}"/>
    <cellStyle name="Chybně" xfId="3662" xr:uid="{00000000-0005-0000-0000-0000790E0000}"/>
    <cellStyle name="Cím 2" xfId="3663" xr:uid="{00000000-0005-0000-0000-00007A0E0000}"/>
    <cellStyle name="Címsor 1 2" xfId="3664" xr:uid="{00000000-0005-0000-0000-00007B0E0000}"/>
    <cellStyle name="Címsor 2 2" xfId="3665" xr:uid="{00000000-0005-0000-0000-00007C0E0000}"/>
    <cellStyle name="Címsor 3 2" xfId="3666" xr:uid="{00000000-0005-0000-0000-00007D0E0000}"/>
    <cellStyle name="Címsor 4 2" xfId="3667" xr:uid="{00000000-0005-0000-0000-00007E0E0000}"/>
    <cellStyle name="ColBlue" xfId="3668" xr:uid="{00000000-0005-0000-0000-00007F0E0000}"/>
    <cellStyle name="ColGreen" xfId="3669" xr:uid="{00000000-0005-0000-0000-0000800E0000}"/>
    <cellStyle name="colonne" xfId="3670" xr:uid="{00000000-0005-0000-0000-0000810E0000}"/>
    <cellStyle name="colorcomma" xfId="3671" xr:uid="{00000000-0005-0000-0000-0000820E0000}"/>
    <cellStyle name="Colore 1 2" xfId="3672" xr:uid="{00000000-0005-0000-0000-0000830E0000}"/>
    <cellStyle name="Colore 1 3" xfId="3673" xr:uid="{00000000-0005-0000-0000-0000840E0000}"/>
    <cellStyle name="Colore 2 2" xfId="3674" xr:uid="{00000000-0005-0000-0000-0000850E0000}"/>
    <cellStyle name="Colore 2 3" xfId="3675" xr:uid="{00000000-0005-0000-0000-0000860E0000}"/>
    <cellStyle name="Colore 3 2" xfId="3676" xr:uid="{00000000-0005-0000-0000-0000870E0000}"/>
    <cellStyle name="Colore 3 3" xfId="3677" xr:uid="{00000000-0005-0000-0000-0000880E0000}"/>
    <cellStyle name="Colore 4 2" xfId="3678" xr:uid="{00000000-0005-0000-0000-0000890E0000}"/>
    <cellStyle name="Colore 4 3" xfId="3679" xr:uid="{00000000-0005-0000-0000-00008A0E0000}"/>
    <cellStyle name="Colore 5 2" xfId="3680" xr:uid="{00000000-0005-0000-0000-00008B0E0000}"/>
    <cellStyle name="Colore 5 3" xfId="3681" xr:uid="{00000000-0005-0000-0000-00008C0E0000}"/>
    <cellStyle name="Colore 6 2" xfId="3682" xr:uid="{00000000-0005-0000-0000-00008D0E0000}"/>
    <cellStyle name="Colore 6 3" xfId="3683" xr:uid="{00000000-0005-0000-0000-00008E0E0000}"/>
    <cellStyle name="ColRed" xfId="3684" xr:uid="{00000000-0005-0000-0000-00008F0E0000}"/>
    <cellStyle name="Column Title" xfId="3685" xr:uid="{00000000-0005-0000-0000-0000900E0000}"/>
    <cellStyle name="Column Title 2" xfId="3686" xr:uid="{00000000-0005-0000-0000-0000910E0000}"/>
    <cellStyle name="Comma (1)" xfId="3687" xr:uid="{00000000-0005-0000-0000-0000930E0000}"/>
    <cellStyle name="comma (2)" xfId="3688" xr:uid="{00000000-0005-0000-0000-0000940E0000}"/>
    <cellStyle name="comma (2) 2" xfId="3689" xr:uid="{00000000-0005-0000-0000-0000950E0000}"/>
    <cellStyle name="comma (2) 3" xfId="3690" xr:uid="{00000000-0005-0000-0000-0000960E0000}"/>
    <cellStyle name="Comma 0" xfId="3691" xr:uid="{00000000-0005-0000-0000-0000970E0000}"/>
    <cellStyle name="Comma 10" xfId="3692" xr:uid="{00000000-0005-0000-0000-0000980E0000}"/>
    <cellStyle name="Comma 10 2" xfId="3693" xr:uid="{00000000-0005-0000-0000-0000990E0000}"/>
    <cellStyle name="Comma 10 2 2" xfId="3694" xr:uid="{00000000-0005-0000-0000-00009A0E0000}"/>
    <cellStyle name="Comma 10 3" xfId="3695" xr:uid="{00000000-0005-0000-0000-00009B0E0000}"/>
    <cellStyle name="Comma 11" xfId="3696" xr:uid="{00000000-0005-0000-0000-00009C0E0000}"/>
    <cellStyle name="Comma 11 2" xfId="3697" xr:uid="{00000000-0005-0000-0000-00009D0E0000}"/>
    <cellStyle name="Comma 11 2 2" xfId="3698" xr:uid="{00000000-0005-0000-0000-00009E0E0000}"/>
    <cellStyle name="Comma 11 2 3" xfId="3699" xr:uid="{00000000-0005-0000-0000-00009F0E0000}"/>
    <cellStyle name="Comma 11 3" xfId="3700" xr:uid="{00000000-0005-0000-0000-0000A00E0000}"/>
    <cellStyle name="Comma 11 4" xfId="3701" xr:uid="{00000000-0005-0000-0000-0000A10E0000}"/>
    <cellStyle name="Comma 12" xfId="3702" xr:uid="{00000000-0005-0000-0000-0000A20E0000}"/>
    <cellStyle name="Comma 12 2" xfId="3703" xr:uid="{00000000-0005-0000-0000-0000A30E0000}"/>
    <cellStyle name="Comma 12 2 2" xfId="3704" xr:uid="{00000000-0005-0000-0000-0000A40E0000}"/>
    <cellStyle name="Comma 13" xfId="3705" xr:uid="{00000000-0005-0000-0000-0000A50E0000}"/>
    <cellStyle name="Comma 13 2" xfId="3706" xr:uid="{00000000-0005-0000-0000-0000A60E0000}"/>
    <cellStyle name="Comma 13 2 2" xfId="3707" xr:uid="{00000000-0005-0000-0000-0000A70E0000}"/>
    <cellStyle name="Comma 13 3" xfId="3708" xr:uid="{00000000-0005-0000-0000-0000A80E0000}"/>
    <cellStyle name="Comma 13 3 2" xfId="14782" xr:uid="{00000000-0005-0000-0000-0000A90E0000}"/>
    <cellStyle name="Comma 14" xfId="3709" xr:uid="{00000000-0005-0000-0000-0000AA0E0000}"/>
    <cellStyle name="Comma 14 2" xfId="3710" xr:uid="{00000000-0005-0000-0000-0000AB0E0000}"/>
    <cellStyle name="Comma 14 2 2" xfId="3711" xr:uid="{00000000-0005-0000-0000-0000AC0E0000}"/>
    <cellStyle name="Comma 14 3" xfId="3712" xr:uid="{00000000-0005-0000-0000-0000AD0E0000}"/>
    <cellStyle name="Comma 14 3 2" xfId="14785" xr:uid="{00000000-0005-0000-0000-0000AE0E0000}"/>
    <cellStyle name="Comma 15" xfId="3713" xr:uid="{00000000-0005-0000-0000-0000AF0E0000}"/>
    <cellStyle name="Comma 15 2" xfId="3714" xr:uid="{00000000-0005-0000-0000-0000B00E0000}"/>
    <cellStyle name="Comma 15 2 2" xfId="3715" xr:uid="{00000000-0005-0000-0000-0000B10E0000}"/>
    <cellStyle name="Comma 15 3" xfId="3716" xr:uid="{00000000-0005-0000-0000-0000B20E0000}"/>
    <cellStyle name="Comma 15 3 2" xfId="14800" xr:uid="{00000000-0005-0000-0000-0000B30E0000}"/>
    <cellStyle name="Comma 16" xfId="3717" xr:uid="{00000000-0005-0000-0000-0000B40E0000}"/>
    <cellStyle name="Comma 16 2" xfId="3718" xr:uid="{00000000-0005-0000-0000-0000B50E0000}"/>
    <cellStyle name="Comma 16 2 2" xfId="3719" xr:uid="{00000000-0005-0000-0000-0000B60E0000}"/>
    <cellStyle name="Comma 16 3" xfId="3720" xr:uid="{00000000-0005-0000-0000-0000B70E0000}"/>
    <cellStyle name="Comma 16 3 2" xfId="14788" xr:uid="{00000000-0005-0000-0000-0000B80E0000}"/>
    <cellStyle name="Comma 17" xfId="3721" xr:uid="{00000000-0005-0000-0000-0000B90E0000}"/>
    <cellStyle name="Comma 17 2" xfId="3722" xr:uid="{00000000-0005-0000-0000-0000BA0E0000}"/>
    <cellStyle name="Comma 17 2 2" xfId="3723" xr:uid="{00000000-0005-0000-0000-0000BB0E0000}"/>
    <cellStyle name="Comma 18" xfId="3724" xr:uid="{00000000-0005-0000-0000-0000BC0E0000}"/>
    <cellStyle name="Comma 18 2" xfId="3725" xr:uid="{00000000-0005-0000-0000-0000BD0E0000}"/>
    <cellStyle name="Comma 18 2 2" xfId="3726" xr:uid="{00000000-0005-0000-0000-0000BE0E0000}"/>
    <cellStyle name="Comma 18 3" xfId="3727" xr:uid="{00000000-0005-0000-0000-0000BF0E0000}"/>
    <cellStyle name="Comma 18 3 2" xfId="14791" xr:uid="{00000000-0005-0000-0000-0000C00E0000}"/>
    <cellStyle name="Comma 18 4" xfId="14909" xr:uid="{00000000-0005-0000-0000-0000C10E0000}"/>
    <cellStyle name="Comma 19" xfId="3728" xr:uid="{00000000-0005-0000-0000-0000C20E0000}"/>
    <cellStyle name="Comma 19 2" xfId="3729" xr:uid="{00000000-0005-0000-0000-0000C30E0000}"/>
    <cellStyle name="Comma 19 2 2" xfId="3730" xr:uid="{00000000-0005-0000-0000-0000C40E0000}"/>
    <cellStyle name="Comma 19 3" xfId="3731" xr:uid="{00000000-0005-0000-0000-0000C50E0000}"/>
    <cellStyle name="Comma 19 3 2" xfId="14797" xr:uid="{00000000-0005-0000-0000-0000C60E0000}"/>
    <cellStyle name="Comma 2" xfId="3732" xr:uid="{00000000-0005-0000-0000-0000C70E0000}"/>
    <cellStyle name="Comma 2 2" xfId="3733" xr:uid="{00000000-0005-0000-0000-0000C80E0000}"/>
    <cellStyle name="Comma 2 2 2" xfId="3734" xr:uid="{00000000-0005-0000-0000-0000C90E0000}"/>
    <cellStyle name="Comma 2 2 2 2" xfId="3735" xr:uid="{00000000-0005-0000-0000-0000CA0E0000}"/>
    <cellStyle name="Comma 2 2 3" xfId="3736" xr:uid="{00000000-0005-0000-0000-0000CB0E0000}"/>
    <cellStyle name="Comma 2 3" xfId="3737" xr:uid="{00000000-0005-0000-0000-0000CC0E0000}"/>
    <cellStyle name="Comma 2 3 2" xfId="3738" xr:uid="{00000000-0005-0000-0000-0000CD0E0000}"/>
    <cellStyle name="Comma 2 3 2 2" xfId="3739" xr:uid="{00000000-0005-0000-0000-0000CE0E0000}"/>
    <cellStyle name="Comma 2 3 2 2 2" xfId="3740" xr:uid="{00000000-0005-0000-0000-0000CF0E0000}"/>
    <cellStyle name="Comma 2 3 2 3" xfId="3741" xr:uid="{00000000-0005-0000-0000-0000D00E0000}"/>
    <cellStyle name="Comma 2 3 2 3 2" xfId="14805" xr:uid="{00000000-0005-0000-0000-0000D10E0000}"/>
    <cellStyle name="Comma 2 3 3" xfId="3742" xr:uid="{00000000-0005-0000-0000-0000D20E0000}"/>
    <cellStyle name="Comma 2 3 3 2" xfId="3743" xr:uid="{00000000-0005-0000-0000-0000D30E0000}"/>
    <cellStyle name="Comma 2 3 4" xfId="3744" xr:uid="{00000000-0005-0000-0000-0000D40E0000}"/>
    <cellStyle name="Comma 2 3 4 2" xfId="3745" xr:uid="{00000000-0005-0000-0000-0000D50E0000}"/>
    <cellStyle name="Comma 2 3 5" xfId="3746" xr:uid="{00000000-0005-0000-0000-0000D60E0000}"/>
    <cellStyle name="Comma 2 4" xfId="3747" xr:uid="{00000000-0005-0000-0000-0000D70E0000}"/>
    <cellStyle name="Comma 2 4 2" xfId="3748" xr:uid="{00000000-0005-0000-0000-0000D80E0000}"/>
    <cellStyle name="Comma 2 4 2 2" xfId="3749" xr:uid="{00000000-0005-0000-0000-0000D90E0000}"/>
    <cellStyle name="Comma 2 5" xfId="3750" xr:uid="{00000000-0005-0000-0000-0000DA0E0000}"/>
    <cellStyle name="Comma 2 5 2" xfId="3751" xr:uid="{00000000-0005-0000-0000-0000DB0E0000}"/>
    <cellStyle name="Comma 2 6" xfId="3752" xr:uid="{00000000-0005-0000-0000-0000DC0E0000}"/>
    <cellStyle name="Comma 2 7" xfId="3753" xr:uid="{00000000-0005-0000-0000-0000DD0E0000}"/>
    <cellStyle name="Comma 2 8" xfId="3754" xr:uid="{00000000-0005-0000-0000-0000DE0E0000}"/>
    <cellStyle name="Comma 2_RP1-FI-V0" xfId="3755" xr:uid="{00000000-0005-0000-0000-0000DF0E0000}"/>
    <cellStyle name="Comma 20" xfId="3756" xr:uid="{00000000-0005-0000-0000-0000E00E0000}"/>
    <cellStyle name="Comma 20 2" xfId="3757" xr:uid="{00000000-0005-0000-0000-0000E10E0000}"/>
    <cellStyle name="Comma 20 2 2" xfId="3758" xr:uid="{00000000-0005-0000-0000-0000E20E0000}"/>
    <cellStyle name="Comma 20 3" xfId="3759" xr:uid="{00000000-0005-0000-0000-0000E30E0000}"/>
    <cellStyle name="Comma 20 3 2" xfId="14794" xr:uid="{00000000-0005-0000-0000-0000E40E0000}"/>
    <cellStyle name="Comma 21" xfId="3760" xr:uid="{00000000-0005-0000-0000-0000E50E0000}"/>
    <cellStyle name="Comma 21 2" xfId="3761" xr:uid="{00000000-0005-0000-0000-0000E60E0000}"/>
    <cellStyle name="Comma 22" xfId="3762" xr:uid="{00000000-0005-0000-0000-0000E70E0000}"/>
    <cellStyle name="Comma 22 2" xfId="3763" xr:uid="{00000000-0005-0000-0000-0000E80E0000}"/>
    <cellStyle name="Comma 23" xfId="3764" xr:uid="{00000000-0005-0000-0000-0000E90E0000}"/>
    <cellStyle name="Comma 23 2" xfId="3765" xr:uid="{00000000-0005-0000-0000-0000EA0E0000}"/>
    <cellStyle name="Comma 24" xfId="3766" xr:uid="{00000000-0005-0000-0000-0000EB0E0000}"/>
    <cellStyle name="Comma 24 2" xfId="3767" xr:uid="{00000000-0005-0000-0000-0000EC0E0000}"/>
    <cellStyle name="Comma 25" xfId="3768" xr:uid="{00000000-0005-0000-0000-0000ED0E0000}"/>
    <cellStyle name="Comma 25 2" xfId="3769" xr:uid="{00000000-0005-0000-0000-0000EE0E0000}"/>
    <cellStyle name="Comma 26" xfId="3770" xr:uid="{00000000-0005-0000-0000-0000EF0E0000}"/>
    <cellStyle name="Comma 26 2" xfId="3771" xr:uid="{00000000-0005-0000-0000-0000F00E0000}"/>
    <cellStyle name="Comma 27" xfId="3772" xr:uid="{00000000-0005-0000-0000-0000F10E0000}"/>
    <cellStyle name="Comma 27 2" xfId="3773" xr:uid="{00000000-0005-0000-0000-0000F20E0000}"/>
    <cellStyle name="Comma 28" xfId="3774" xr:uid="{00000000-0005-0000-0000-0000F30E0000}"/>
    <cellStyle name="Comma 28 2" xfId="3775" xr:uid="{00000000-0005-0000-0000-0000F40E0000}"/>
    <cellStyle name="Comma 29" xfId="3776" xr:uid="{00000000-0005-0000-0000-0000F50E0000}"/>
    <cellStyle name="Comma 29 2" xfId="3777" xr:uid="{00000000-0005-0000-0000-0000F60E0000}"/>
    <cellStyle name="Comma 3" xfId="3778" xr:uid="{00000000-0005-0000-0000-0000F70E0000}"/>
    <cellStyle name="Comma 3 2" xfId="3779" xr:uid="{00000000-0005-0000-0000-0000F80E0000}"/>
    <cellStyle name="Comma 3 2 2" xfId="3780" xr:uid="{00000000-0005-0000-0000-0000F90E0000}"/>
    <cellStyle name="Comma 3 2 3" xfId="3781" xr:uid="{00000000-0005-0000-0000-0000FA0E0000}"/>
    <cellStyle name="Comma 3 3" xfId="3782" xr:uid="{00000000-0005-0000-0000-0000FB0E0000}"/>
    <cellStyle name="Comma 3 3 2" xfId="3783" xr:uid="{00000000-0005-0000-0000-0000FC0E0000}"/>
    <cellStyle name="Comma 3 4" xfId="3784" xr:uid="{00000000-0005-0000-0000-0000FD0E0000}"/>
    <cellStyle name="Comma 3 4 2" xfId="3785" xr:uid="{00000000-0005-0000-0000-0000FE0E0000}"/>
    <cellStyle name="Comma 3 5" xfId="3786" xr:uid="{00000000-0005-0000-0000-0000FF0E0000}"/>
    <cellStyle name="Comma 3 5 2" xfId="3787" xr:uid="{00000000-0005-0000-0000-0000000F0000}"/>
    <cellStyle name="Comma 3 6" xfId="3788" xr:uid="{00000000-0005-0000-0000-0000010F0000}"/>
    <cellStyle name="Comma 3 7" xfId="3789" xr:uid="{00000000-0005-0000-0000-0000020F0000}"/>
    <cellStyle name="Comma 3_RP1-FI-V0" xfId="3790" xr:uid="{00000000-0005-0000-0000-0000030F0000}"/>
    <cellStyle name="Comma 30" xfId="3791" xr:uid="{00000000-0005-0000-0000-0000040F0000}"/>
    <cellStyle name="Comma 30 2" xfId="3792" xr:uid="{00000000-0005-0000-0000-0000050F0000}"/>
    <cellStyle name="Comma 31" xfId="3793" xr:uid="{00000000-0005-0000-0000-0000060F0000}"/>
    <cellStyle name="Comma 31 2" xfId="3794" xr:uid="{00000000-0005-0000-0000-0000070F0000}"/>
    <cellStyle name="Comma 32" xfId="3795" xr:uid="{00000000-0005-0000-0000-0000080F0000}"/>
    <cellStyle name="Comma 32 2" xfId="3796" xr:uid="{00000000-0005-0000-0000-0000090F0000}"/>
    <cellStyle name="Comma 33" xfId="3797" xr:uid="{00000000-0005-0000-0000-00000A0F0000}"/>
    <cellStyle name="Comma 34" xfId="3798" xr:uid="{00000000-0005-0000-0000-00000B0F0000}"/>
    <cellStyle name="Comma 35" xfId="3799" xr:uid="{00000000-0005-0000-0000-00000C0F0000}"/>
    <cellStyle name="Comma 36" xfId="3800" xr:uid="{00000000-0005-0000-0000-00000D0F0000}"/>
    <cellStyle name="Comma 37" xfId="3801" xr:uid="{00000000-0005-0000-0000-00000E0F0000}"/>
    <cellStyle name="Comma 38" xfId="3802" xr:uid="{00000000-0005-0000-0000-00000F0F0000}"/>
    <cellStyle name="Comma 39" xfId="3803" xr:uid="{00000000-0005-0000-0000-0000100F0000}"/>
    <cellStyle name="Comma 4" xfId="3804" xr:uid="{00000000-0005-0000-0000-0000110F0000}"/>
    <cellStyle name="Comma 4 2" xfId="3805" xr:uid="{00000000-0005-0000-0000-0000120F0000}"/>
    <cellStyle name="Comma 4 2 2" xfId="3806" xr:uid="{00000000-0005-0000-0000-0000130F0000}"/>
    <cellStyle name="Comma 4 3" xfId="3807" xr:uid="{00000000-0005-0000-0000-0000140F0000}"/>
    <cellStyle name="Comma 4 3 2" xfId="3808" xr:uid="{00000000-0005-0000-0000-0000150F0000}"/>
    <cellStyle name="Comma 4 4" xfId="3809" xr:uid="{00000000-0005-0000-0000-0000160F0000}"/>
    <cellStyle name="Comma 4 5" xfId="3810" xr:uid="{00000000-0005-0000-0000-0000170F0000}"/>
    <cellStyle name="Comma 40" xfId="14911" xr:uid="{00000000-0005-0000-0000-0000180F0000}"/>
    <cellStyle name="Comma 5" xfId="3811" xr:uid="{00000000-0005-0000-0000-0000190F0000}"/>
    <cellStyle name="Comma 5 2" xfId="3812" xr:uid="{00000000-0005-0000-0000-00001A0F0000}"/>
    <cellStyle name="Comma 5 2 2" xfId="3813" xr:uid="{00000000-0005-0000-0000-00001B0F0000}"/>
    <cellStyle name="Comma 5 2 2 2" xfId="3814" xr:uid="{00000000-0005-0000-0000-00001C0F0000}"/>
    <cellStyle name="Comma 5 3" xfId="3815" xr:uid="{00000000-0005-0000-0000-00001D0F0000}"/>
    <cellStyle name="Comma 5 3 2" xfId="3816" xr:uid="{00000000-0005-0000-0000-00001E0F0000}"/>
    <cellStyle name="Comma 5 4" xfId="3817" xr:uid="{00000000-0005-0000-0000-00001F0F0000}"/>
    <cellStyle name="Comma 6" xfId="3818" xr:uid="{00000000-0005-0000-0000-0000200F0000}"/>
    <cellStyle name="Comma 6 2" xfId="3819" xr:uid="{00000000-0005-0000-0000-0000210F0000}"/>
    <cellStyle name="Comma 6 2 2" xfId="3820" xr:uid="{00000000-0005-0000-0000-0000220F0000}"/>
    <cellStyle name="Comma 6 3" xfId="3821" xr:uid="{00000000-0005-0000-0000-0000230F0000}"/>
    <cellStyle name="Comma 6 3 2" xfId="3822" xr:uid="{00000000-0005-0000-0000-0000240F0000}"/>
    <cellStyle name="Comma 6 4" xfId="3823" xr:uid="{00000000-0005-0000-0000-0000250F0000}"/>
    <cellStyle name="Comma 6 4 2" xfId="3824" xr:uid="{00000000-0005-0000-0000-0000260F0000}"/>
    <cellStyle name="Comma 7" xfId="3825" xr:uid="{00000000-0005-0000-0000-0000270F0000}"/>
    <cellStyle name="Comma 7 2" xfId="3826" xr:uid="{00000000-0005-0000-0000-0000280F0000}"/>
    <cellStyle name="Comma 7 2 2" xfId="3827" xr:uid="{00000000-0005-0000-0000-0000290F0000}"/>
    <cellStyle name="Comma 7 3" xfId="3828" xr:uid="{00000000-0005-0000-0000-00002A0F0000}"/>
    <cellStyle name="Comma 7 3 2" xfId="3829" xr:uid="{00000000-0005-0000-0000-00002B0F0000}"/>
    <cellStyle name="Comma 7 4" xfId="3830" xr:uid="{00000000-0005-0000-0000-00002C0F0000}"/>
    <cellStyle name="Comma 8" xfId="3831" xr:uid="{00000000-0005-0000-0000-00002D0F0000}"/>
    <cellStyle name="Comma 8 2" xfId="3832" xr:uid="{00000000-0005-0000-0000-00002E0F0000}"/>
    <cellStyle name="Comma 8 2 2" xfId="3833" xr:uid="{00000000-0005-0000-0000-00002F0F0000}"/>
    <cellStyle name="Comma 8 3" xfId="3834" xr:uid="{00000000-0005-0000-0000-0000300F0000}"/>
    <cellStyle name="Comma 8 3 2" xfId="3835" xr:uid="{00000000-0005-0000-0000-0000310F0000}"/>
    <cellStyle name="Comma 8 4" xfId="3836" xr:uid="{00000000-0005-0000-0000-0000320F0000}"/>
    <cellStyle name="Comma 8 5" xfId="3837" xr:uid="{00000000-0005-0000-0000-0000330F0000}"/>
    <cellStyle name="Comma 9" xfId="3838" xr:uid="{00000000-0005-0000-0000-0000340F0000}"/>
    <cellStyle name="Comma 9 2" xfId="3839" xr:uid="{00000000-0005-0000-0000-0000350F0000}"/>
    <cellStyle name="Comma 9 2 2" xfId="3840" xr:uid="{00000000-0005-0000-0000-0000360F0000}"/>
    <cellStyle name="Comma 9 3" xfId="3841" xr:uid="{00000000-0005-0000-0000-0000370F0000}"/>
    <cellStyle name="Comma 9 3 2" xfId="3842" xr:uid="{00000000-0005-0000-0000-0000380F0000}"/>
    <cellStyle name="Comma 9 4" xfId="3843" xr:uid="{00000000-0005-0000-0000-0000390F0000}"/>
    <cellStyle name="Comma 9 5" xfId="3844" xr:uid="{00000000-0005-0000-0000-00003A0F0000}"/>
    <cellStyle name="Comma(2)" xfId="3845" xr:uid="{00000000-0005-0000-0000-00003B0F0000}"/>
    <cellStyle name="Comma(2) 2" xfId="3846" xr:uid="{00000000-0005-0000-0000-00003C0F0000}"/>
    <cellStyle name="Comma(2) 3" xfId="3847" xr:uid="{00000000-0005-0000-0000-00003D0F0000}"/>
    <cellStyle name="Commentaire 10" xfId="3848" xr:uid="{00000000-0005-0000-0000-00003E0F0000}"/>
    <cellStyle name="Commentaire 10 2" xfId="3849" xr:uid="{00000000-0005-0000-0000-00003F0F0000}"/>
    <cellStyle name="Commentaire 10 2 2" xfId="3850" xr:uid="{00000000-0005-0000-0000-0000400F0000}"/>
    <cellStyle name="Commentaire 10 2 3" xfId="3851" xr:uid="{00000000-0005-0000-0000-0000410F0000}"/>
    <cellStyle name="Commentaire 10 2 4" xfId="3852" xr:uid="{00000000-0005-0000-0000-0000420F0000}"/>
    <cellStyle name="Commentaire 10 2 5" xfId="3853" xr:uid="{00000000-0005-0000-0000-0000430F0000}"/>
    <cellStyle name="Commentaire 10 3" xfId="3854" xr:uid="{00000000-0005-0000-0000-0000440F0000}"/>
    <cellStyle name="Commentaire 10 4" xfId="3855" xr:uid="{00000000-0005-0000-0000-0000450F0000}"/>
    <cellStyle name="Commentaire 10 5" xfId="3856" xr:uid="{00000000-0005-0000-0000-0000460F0000}"/>
    <cellStyle name="Commentaire 10 6" xfId="3857" xr:uid="{00000000-0005-0000-0000-0000470F0000}"/>
    <cellStyle name="Commentaire 11" xfId="3858" xr:uid="{00000000-0005-0000-0000-0000480F0000}"/>
    <cellStyle name="Commentaire 11 2" xfId="3859" xr:uid="{00000000-0005-0000-0000-0000490F0000}"/>
    <cellStyle name="Commentaire 11 2 2" xfId="3860" xr:uid="{00000000-0005-0000-0000-00004A0F0000}"/>
    <cellStyle name="Commentaire 11 2 3" xfId="3861" xr:uid="{00000000-0005-0000-0000-00004B0F0000}"/>
    <cellStyle name="Commentaire 11 2 4" xfId="3862" xr:uid="{00000000-0005-0000-0000-00004C0F0000}"/>
    <cellStyle name="Commentaire 11 2 5" xfId="3863" xr:uid="{00000000-0005-0000-0000-00004D0F0000}"/>
    <cellStyle name="Commentaire 11 3" xfId="3864" xr:uid="{00000000-0005-0000-0000-00004E0F0000}"/>
    <cellStyle name="Commentaire 11 4" xfId="3865" xr:uid="{00000000-0005-0000-0000-00004F0F0000}"/>
    <cellStyle name="Commentaire 11 5" xfId="3866" xr:uid="{00000000-0005-0000-0000-0000500F0000}"/>
    <cellStyle name="Commentaire 11 6" xfId="3867" xr:uid="{00000000-0005-0000-0000-0000510F0000}"/>
    <cellStyle name="Commentaire 12" xfId="3868" xr:uid="{00000000-0005-0000-0000-0000520F0000}"/>
    <cellStyle name="Commentaire 12 2" xfId="3869" xr:uid="{00000000-0005-0000-0000-0000530F0000}"/>
    <cellStyle name="Commentaire 12 2 2" xfId="3870" xr:uid="{00000000-0005-0000-0000-0000540F0000}"/>
    <cellStyle name="Commentaire 12 2 3" xfId="3871" xr:uid="{00000000-0005-0000-0000-0000550F0000}"/>
    <cellStyle name="Commentaire 12 2 4" xfId="3872" xr:uid="{00000000-0005-0000-0000-0000560F0000}"/>
    <cellStyle name="Commentaire 12 2 5" xfId="3873" xr:uid="{00000000-0005-0000-0000-0000570F0000}"/>
    <cellStyle name="Commentaire 12 3" xfId="3874" xr:uid="{00000000-0005-0000-0000-0000580F0000}"/>
    <cellStyle name="Commentaire 12 4" xfId="3875" xr:uid="{00000000-0005-0000-0000-0000590F0000}"/>
    <cellStyle name="Commentaire 12 5" xfId="3876" xr:uid="{00000000-0005-0000-0000-00005A0F0000}"/>
    <cellStyle name="Commentaire 12 6" xfId="3877" xr:uid="{00000000-0005-0000-0000-00005B0F0000}"/>
    <cellStyle name="Commentaire 13" xfId="3878" xr:uid="{00000000-0005-0000-0000-00005C0F0000}"/>
    <cellStyle name="Commentaire 13 2" xfId="3879" xr:uid="{00000000-0005-0000-0000-00005D0F0000}"/>
    <cellStyle name="Commentaire 13 2 2" xfId="3880" xr:uid="{00000000-0005-0000-0000-00005E0F0000}"/>
    <cellStyle name="Commentaire 13 2 3" xfId="3881" xr:uid="{00000000-0005-0000-0000-00005F0F0000}"/>
    <cellStyle name="Commentaire 13 2 4" xfId="3882" xr:uid="{00000000-0005-0000-0000-0000600F0000}"/>
    <cellStyle name="Commentaire 13 2 5" xfId="3883" xr:uid="{00000000-0005-0000-0000-0000610F0000}"/>
    <cellStyle name="Commentaire 13 3" xfId="3884" xr:uid="{00000000-0005-0000-0000-0000620F0000}"/>
    <cellStyle name="Commentaire 13 4" xfId="3885" xr:uid="{00000000-0005-0000-0000-0000630F0000}"/>
    <cellStyle name="Commentaire 13 5" xfId="3886" xr:uid="{00000000-0005-0000-0000-0000640F0000}"/>
    <cellStyle name="Commentaire 13 6" xfId="3887" xr:uid="{00000000-0005-0000-0000-0000650F0000}"/>
    <cellStyle name="Commentaire 14" xfId="3888" xr:uid="{00000000-0005-0000-0000-0000660F0000}"/>
    <cellStyle name="Commentaire 14 2" xfId="3889" xr:uid="{00000000-0005-0000-0000-0000670F0000}"/>
    <cellStyle name="Commentaire 14 2 2" xfId="3890" xr:uid="{00000000-0005-0000-0000-0000680F0000}"/>
    <cellStyle name="Commentaire 14 2 3" xfId="3891" xr:uid="{00000000-0005-0000-0000-0000690F0000}"/>
    <cellStyle name="Commentaire 14 2 4" xfId="3892" xr:uid="{00000000-0005-0000-0000-00006A0F0000}"/>
    <cellStyle name="Commentaire 14 2 5" xfId="3893" xr:uid="{00000000-0005-0000-0000-00006B0F0000}"/>
    <cellStyle name="Commentaire 14 3" xfId="3894" xr:uid="{00000000-0005-0000-0000-00006C0F0000}"/>
    <cellStyle name="Commentaire 14 4" xfId="3895" xr:uid="{00000000-0005-0000-0000-00006D0F0000}"/>
    <cellStyle name="Commentaire 14 5" xfId="3896" xr:uid="{00000000-0005-0000-0000-00006E0F0000}"/>
    <cellStyle name="Commentaire 14 6" xfId="3897" xr:uid="{00000000-0005-0000-0000-00006F0F0000}"/>
    <cellStyle name="Commentaire 15" xfId="3898" xr:uid="{00000000-0005-0000-0000-0000700F0000}"/>
    <cellStyle name="Commentaire 15 2" xfId="3899" xr:uid="{00000000-0005-0000-0000-0000710F0000}"/>
    <cellStyle name="Commentaire 15 2 2" xfId="3900" xr:uid="{00000000-0005-0000-0000-0000720F0000}"/>
    <cellStyle name="Commentaire 15 2 3" xfId="3901" xr:uid="{00000000-0005-0000-0000-0000730F0000}"/>
    <cellStyle name="Commentaire 15 2 4" xfId="3902" xr:uid="{00000000-0005-0000-0000-0000740F0000}"/>
    <cellStyle name="Commentaire 15 2 5" xfId="3903" xr:uid="{00000000-0005-0000-0000-0000750F0000}"/>
    <cellStyle name="Commentaire 15 3" xfId="3904" xr:uid="{00000000-0005-0000-0000-0000760F0000}"/>
    <cellStyle name="Commentaire 15 4" xfId="3905" xr:uid="{00000000-0005-0000-0000-0000770F0000}"/>
    <cellStyle name="Commentaire 15 5" xfId="3906" xr:uid="{00000000-0005-0000-0000-0000780F0000}"/>
    <cellStyle name="Commentaire 15 6" xfId="3907" xr:uid="{00000000-0005-0000-0000-0000790F0000}"/>
    <cellStyle name="Commentaire 16" xfId="3908" xr:uid="{00000000-0005-0000-0000-00007A0F0000}"/>
    <cellStyle name="Commentaire 16 2" xfId="3909" xr:uid="{00000000-0005-0000-0000-00007B0F0000}"/>
    <cellStyle name="Commentaire 16 3" xfId="3910" xr:uid="{00000000-0005-0000-0000-00007C0F0000}"/>
    <cellStyle name="Commentaire 16 4" xfId="3911" xr:uid="{00000000-0005-0000-0000-00007D0F0000}"/>
    <cellStyle name="Commentaire 16 5" xfId="3912" xr:uid="{00000000-0005-0000-0000-00007E0F0000}"/>
    <cellStyle name="Commentaire 17" xfId="3913" xr:uid="{00000000-0005-0000-0000-00007F0F0000}"/>
    <cellStyle name="Commentaire 17 2" xfId="3914" xr:uid="{00000000-0005-0000-0000-0000800F0000}"/>
    <cellStyle name="Commentaire 17 3" xfId="3915" xr:uid="{00000000-0005-0000-0000-0000810F0000}"/>
    <cellStyle name="Commentaire 18" xfId="3916" xr:uid="{00000000-0005-0000-0000-0000820F0000}"/>
    <cellStyle name="Commentaire 18 2" xfId="3917" xr:uid="{00000000-0005-0000-0000-0000830F0000}"/>
    <cellStyle name="Commentaire 18 3" xfId="3918" xr:uid="{00000000-0005-0000-0000-0000840F0000}"/>
    <cellStyle name="Commentaire 19" xfId="3919" xr:uid="{00000000-0005-0000-0000-0000850F0000}"/>
    <cellStyle name="Commentaire 2" xfId="3920" xr:uid="{00000000-0005-0000-0000-0000860F0000}"/>
    <cellStyle name="Commentaire 2 2" xfId="3921" xr:uid="{00000000-0005-0000-0000-0000870F0000}"/>
    <cellStyle name="Commentaire 2 2 2" xfId="3922" xr:uid="{00000000-0005-0000-0000-0000880F0000}"/>
    <cellStyle name="Commentaire 2 2 3" xfId="3923" xr:uid="{00000000-0005-0000-0000-0000890F0000}"/>
    <cellStyle name="Commentaire 2 2 4" xfId="3924" xr:uid="{00000000-0005-0000-0000-00008A0F0000}"/>
    <cellStyle name="Commentaire 2 2 5" xfId="3925" xr:uid="{00000000-0005-0000-0000-00008B0F0000}"/>
    <cellStyle name="Commentaire 2 3" xfId="3926" xr:uid="{00000000-0005-0000-0000-00008C0F0000}"/>
    <cellStyle name="Commentaire 2 3 2" xfId="3927" xr:uid="{00000000-0005-0000-0000-00008D0F0000}"/>
    <cellStyle name="Commentaire 2 3 3" xfId="3928" xr:uid="{00000000-0005-0000-0000-00008E0F0000}"/>
    <cellStyle name="Commentaire 2 3 4" xfId="3929" xr:uid="{00000000-0005-0000-0000-00008F0F0000}"/>
    <cellStyle name="Commentaire 2 3 5" xfId="3930" xr:uid="{00000000-0005-0000-0000-0000900F0000}"/>
    <cellStyle name="Commentaire 2 4" xfId="3931" xr:uid="{00000000-0005-0000-0000-0000910F0000}"/>
    <cellStyle name="Commentaire 2 5" xfId="3932" xr:uid="{00000000-0005-0000-0000-0000920F0000}"/>
    <cellStyle name="Commentaire 2 6" xfId="3933" xr:uid="{00000000-0005-0000-0000-0000930F0000}"/>
    <cellStyle name="Commentaire 2 7" xfId="3934" xr:uid="{00000000-0005-0000-0000-0000940F0000}"/>
    <cellStyle name="Commentaire 20" xfId="3935" xr:uid="{00000000-0005-0000-0000-0000950F0000}"/>
    <cellStyle name="Commentaire 21" xfId="3936" xr:uid="{00000000-0005-0000-0000-0000960F0000}"/>
    <cellStyle name="Commentaire 3" xfId="3937" xr:uid="{00000000-0005-0000-0000-0000970F0000}"/>
    <cellStyle name="Commentaire 3 2" xfId="3938" xr:uid="{00000000-0005-0000-0000-0000980F0000}"/>
    <cellStyle name="Commentaire 3 2 2" xfId="3939" xr:uid="{00000000-0005-0000-0000-0000990F0000}"/>
    <cellStyle name="Commentaire 3 2 3" xfId="3940" xr:uid="{00000000-0005-0000-0000-00009A0F0000}"/>
    <cellStyle name="Commentaire 3 2 4" xfId="3941" xr:uid="{00000000-0005-0000-0000-00009B0F0000}"/>
    <cellStyle name="Commentaire 3 2 5" xfId="3942" xr:uid="{00000000-0005-0000-0000-00009C0F0000}"/>
    <cellStyle name="Commentaire 3 3" xfId="3943" xr:uid="{00000000-0005-0000-0000-00009D0F0000}"/>
    <cellStyle name="Commentaire 3 3 2" xfId="3944" xr:uid="{00000000-0005-0000-0000-00009E0F0000}"/>
    <cellStyle name="Commentaire 3 3 3" xfId="3945" xr:uid="{00000000-0005-0000-0000-00009F0F0000}"/>
    <cellStyle name="Commentaire 3 3 4" xfId="3946" xr:uid="{00000000-0005-0000-0000-0000A00F0000}"/>
    <cellStyle name="Commentaire 3 3 5" xfId="3947" xr:uid="{00000000-0005-0000-0000-0000A10F0000}"/>
    <cellStyle name="Commentaire 3 3 6" xfId="3948" xr:uid="{00000000-0005-0000-0000-0000A20F0000}"/>
    <cellStyle name="Commentaire 3 3 7" xfId="3949" xr:uid="{00000000-0005-0000-0000-0000A30F0000}"/>
    <cellStyle name="Commentaire 3 4" xfId="3950" xr:uid="{00000000-0005-0000-0000-0000A40F0000}"/>
    <cellStyle name="Commentaire 3 5" xfId="3951" xr:uid="{00000000-0005-0000-0000-0000A50F0000}"/>
    <cellStyle name="Commentaire 3 6" xfId="3952" xr:uid="{00000000-0005-0000-0000-0000A60F0000}"/>
    <cellStyle name="Commentaire 3 7" xfId="3953" xr:uid="{00000000-0005-0000-0000-0000A70F0000}"/>
    <cellStyle name="Commentaire 4" xfId="3954" xr:uid="{00000000-0005-0000-0000-0000A80F0000}"/>
    <cellStyle name="Commentaire 4 2" xfId="3955" xr:uid="{00000000-0005-0000-0000-0000A90F0000}"/>
    <cellStyle name="Commentaire 4 2 2" xfId="3956" xr:uid="{00000000-0005-0000-0000-0000AA0F0000}"/>
    <cellStyle name="Commentaire 4 2 3" xfId="3957" xr:uid="{00000000-0005-0000-0000-0000AB0F0000}"/>
    <cellStyle name="Commentaire 4 2 4" xfId="3958" xr:uid="{00000000-0005-0000-0000-0000AC0F0000}"/>
    <cellStyle name="Commentaire 4 3" xfId="3959" xr:uid="{00000000-0005-0000-0000-0000AD0F0000}"/>
    <cellStyle name="Commentaire 4 3 2" xfId="3960" xr:uid="{00000000-0005-0000-0000-0000AE0F0000}"/>
    <cellStyle name="Commentaire 4 3 3" xfId="3961" xr:uid="{00000000-0005-0000-0000-0000AF0F0000}"/>
    <cellStyle name="Commentaire 4 4" xfId="3962" xr:uid="{00000000-0005-0000-0000-0000B00F0000}"/>
    <cellStyle name="Commentaire 4 5" xfId="3963" xr:uid="{00000000-0005-0000-0000-0000B10F0000}"/>
    <cellStyle name="Commentaire 4 6" xfId="3964" xr:uid="{00000000-0005-0000-0000-0000B20F0000}"/>
    <cellStyle name="Commentaire 5" xfId="3965" xr:uid="{00000000-0005-0000-0000-0000B30F0000}"/>
    <cellStyle name="Commentaire 5 2" xfId="3966" xr:uid="{00000000-0005-0000-0000-0000B40F0000}"/>
    <cellStyle name="Commentaire 5 2 2" xfId="3967" xr:uid="{00000000-0005-0000-0000-0000B50F0000}"/>
    <cellStyle name="Commentaire 5 2 3" xfId="3968" xr:uid="{00000000-0005-0000-0000-0000B60F0000}"/>
    <cellStyle name="Commentaire 5 2 4" xfId="3969" xr:uid="{00000000-0005-0000-0000-0000B70F0000}"/>
    <cellStyle name="Commentaire 5 2 5" xfId="3970" xr:uid="{00000000-0005-0000-0000-0000B80F0000}"/>
    <cellStyle name="Commentaire 5 3" xfId="3971" xr:uid="{00000000-0005-0000-0000-0000B90F0000}"/>
    <cellStyle name="Commentaire 5 3 2" xfId="3972" xr:uid="{00000000-0005-0000-0000-0000BA0F0000}"/>
    <cellStyle name="Commentaire 5 3 3" xfId="3973" xr:uid="{00000000-0005-0000-0000-0000BB0F0000}"/>
    <cellStyle name="Commentaire 5 3 4" xfId="3974" xr:uid="{00000000-0005-0000-0000-0000BC0F0000}"/>
    <cellStyle name="Commentaire 5 3 5" xfId="3975" xr:uid="{00000000-0005-0000-0000-0000BD0F0000}"/>
    <cellStyle name="Commentaire 5 4" xfId="3976" xr:uid="{00000000-0005-0000-0000-0000BE0F0000}"/>
    <cellStyle name="Commentaire 5 5" xfId="3977" xr:uid="{00000000-0005-0000-0000-0000BF0F0000}"/>
    <cellStyle name="Commentaire 5 6" xfId="3978" xr:uid="{00000000-0005-0000-0000-0000C00F0000}"/>
    <cellStyle name="Commentaire 5 7" xfId="3979" xr:uid="{00000000-0005-0000-0000-0000C10F0000}"/>
    <cellStyle name="Commentaire 5 8" xfId="3980" xr:uid="{00000000-0005-0000-0000-0000C20F0000}"/>
    <cellStyle name="Commentaire 6" xfId="3981" xr:uid="{00000000-0005-0000-0000-0000C30F0000}"/>
    <cellStyle name="Commentaire 6 2" xfId="3982" xr:uid="{00000000-0005-0000-0000-0000C40F0000}"/>
    <cellStyle name="Commentaire 6 2 2" xfId="3983" xr:uid="{00000000-0005-0000-0000-0000C50F0000}"/>
    <cellStyle name="Commentaire 6 2 3" xfId="3984" xr:uid="{00000000-0005-0000-0000-0000C60F0000}"/>
    <cellStyle name="Commentaire 6 2 4" xfId="3985" xr:uid="{00000000-0005-0000-0000-0000C70F0000}"/>
    <cellStyle name="Commentaire 6 2 5" xfId="3986" xr:uid="{00000000-0005-0000-0000-0000C80F0000}"/>
    <cellStyle name="Commentaire 6 3" xfId="3987" xr:uid="{00000000-0005-0000-0000-0000C90F0000}"/>
    <cellStyle name="Commentaire 6 4" xfId="3988" xr:uid="{00000000-0005-0000-0000-0000CA0F0000}"/>
    <cellStyle name="Commentaire 6 5" xfId="3989" xr:uid="{00000000-0005-0000-0000-0000CB0F0000}"/>
    <cellStyle name="Commentaire 6 6" xfId="3990" xr:uid="{00000000-0005-0000-0000-0000CC0F0000}"/>
    <cellStyle name="Commentaire 7" xfId="3991" xr:uid="{00000000-0005-0000-0000-0000CD0F0000}"/>
    <cellStyle name="Commentaire 7 2" xfId="3992" xr:uid="{00000000-0005-0000-0000-0000CE0F0000}"/>
    <cellStyle name="Commentaire 7 2 2" xfId="3993" xr:uid="{00000000-0005-0000-0000-0000CF0F0000}"/>
    <cellStyle name="Commentaire 7 2 3" xfId="3994" xr:uid="{00000000-0005-0000-0000-0000D00F0000}"/>
    <cellStyle name="Commentaire 7 2 4" xfId="3995" xr:uid="{00000000-0005-0000-0000-0000D10F0000}"/>
    <cellStyle name="Commentaire 7 2 5" xfId="3996" xr:uid="{00000000-0005-0000-0000-0000D20F0000}"/>
    <cellStyle name="Commentaire 7 3" xfId="3997" xr:uid="{00000000-0005-0000-0000-0000D30F0000}"/>
    <cellStyle name="Commentaire 7 4" xfId="3998" xr:uid="{00000000-0005-0000-0000-0000D40F0000}"/>
    <cellStyle name="Commentaire 7 5" xfId="3999" xr:uid="{00000000-0005-0000-0000-0000D50F0000}"/>
    <cellStyle name="Commentaire 7 6" xfId="4000" xr:uid="{00000000-0005-0000-0000-0000D60F0000}"/>
    <cellStyle name="Commentaire 8" xfId="4001" xr:uid="{00000000-0005-0000-0000-0000D70F0000}"/>
    <cellStyle name="Commentaire 8 2" xfId="4002" xr:uid="{00000000-0005-0000-0000-0000D80F0000}"/>
    <cellStyle name="Commentaire 8 2 2" xfId="4003" xr:uid="{00000000-0005-0000-0000-0000D90F0000}"/>
    <cellStyle name="Commentaire 8 2 3" xfId="4004" xr:uid="{00000000-0005-0000-0000-0000DA0F0000}"/>
    <cellStyle name="Commentaire 8 2 4" xfId="4005" xr:uid="{00000000-0005-0000-0000-0000DB0F0000}"/>
    <cellStyle name="Commentaire 8 2 5" xfId="4006" xr:uid="{00000000-0005-0000-0000-0000DC0F0000}"/>
    <cellStyle name="Commentaire 8 3" xfId="4007" xr:uid="{00000000-0005-0000-0000-0000DD0F0000}"/>
    <cellStyle name="Commentaire 8 4" xfId="4008" xr:uid="{00000000-0005-0000-0000-0000DE0F0000}"/>
    <cellStyle name="Commentaire 8 5" xfId="4009" xr:uid="{00000000-0005-0000-0000-0000DF0F0000}"/>
    <cellStyle name="Commentaire 8 6" xfId="4010" xr:uid="{00000000-0005-0000-0000-0000E00F0000}"/>
    <cellStyle name="Commentaire 9" xfId="4011" xr:uid="{00000000-0005-0000-0000-0000E10F0000}"/>
    <cellStyle name="Commentaire 9 2" xfId="4012" xr:uid="{00000000-0005-0000-0000-0000E20F0000}"/>
    <cellStyle name="Commentaire 9 2 2" xfId="4013" xr:uid="{00000000-0005-0000-0000-0000E30F0000}"/>
    <cellStyle name="Commentaire 9 2 3" xfId="4014" xr:uid="{00000000-0005-0000-0000-0000E40F0000}"/>
    <cellStyle name="Commentaire 9 2 4" xfId="4015" xr:uid="{00000000-0005-0000-0000-0000E50F0000}"/>
    <cellStyle name="Commentaire 9 2 5" xfId="4016" xr:uid="{00000000-0005-0000-0000-0000E60F0000}"/>
    <cellStyle name="Commentaire 9 3" xfId="4017" xr:uid="{00000000-0005-0000-0000-0000E70F0000}"/>
    <cellStyle name="Commentaire 9 4" xfId="4018" xr:uid="{00000000-0005-0000-0000-0000E80F0000}"/>
    <cellStyle name="Commentaire 9 5" xfId="4019" xr:uid="{00000000-0005-0000-0000-0000E90F0000}"/>
    <cellStyle name="Commentaire 9 6" xfId="4020" xr:uid="{00000000-0005-0000-0000-0000EA0F0000}"/>
    <cellStyle name="Control Check" xfId="4021" xr:uid="{00000000-0005-0000-0000-0000EB0F0000}"/>
    <cellStyle name="control table footer 1" xfId="4022" xr:uid="{00000000-0005-0000-0000-0000EC0F0000}"/>
    <cellStyle name="control table header 1" xfId="4023" xr:uid="{00000000-0005-0000-0000-0000ED0F0000}"/>
    <cellStyle name="Curren - Style1" xfId="4024" xr:uid="{00000000-0005-0000-0000-0000EE0F0000}"/>
    <cellStyle name="Curren - Style4" xfId="4025" xr:uid="{00000000-0005-0000-0000-0000EF0F0000}"/>
    <cellStyle name="Currency (0)" xfId="4026" xr:uid="{00000000-0005-0000-0000-0000F00F0000}"/>
    <cellStyle name="Currency (2)" xfId="4027" xr:uid="{00000000-0005-0000-0000-0000F10F0000}"/>
    <cellStyle name="Currency 0" xfId="4028" xr:uid="{00000000-0005-0000-0000-0000F20F0000}"/>
    <cellStyle name="Currency 2" xfId="4029" xr:uid="{00000000-0005-0000-0000-0000F30F0000}"/>
    <cellStyle name="Currency 2 2" xfId="4030" xr:uid="{00000000-0005-0000-0000-0000F40F0000}"/>
    <cellStyle name="Currency 2 2 2" xfId="4031" xr:uid="{00000000-0005-0000-0000-0000F50F0000}"/>
    <cellStyle name="Currency 2 3" xfId="4032" xr:uid="{00000000-0005-0000-0000-0000F60F0000}"/>
    <cellStyle name="D" xfId="4033" xr:uid="{00000000-0005-0000-0000-0000F70F0000}"/>
    <cellStyle name="Dane wejściowe" xfId="4035" xr:uid="{00000000-0005-0000-0000-0000F90F0000}"/>
    <cellStyle name="Dane wejściowe 2" xfId="4036" xr:uid="{00000000-0005-0000-0000-0000FA0F0000}"/>
    <cellStyle name="Dane wejściowe 2 2" xfId="4037" xr:uid="{00000000-0005-0000-0000-0000FB0F0000}"/>
    <cellStyle name="Dane wejściowe 2 3" xfId="4038" xr:uid="{00000000-0005-0000-0000-0000FC0F0000}"/>
    <cellStyle name="Dane wejściowe 3" xfId="4039" xr:uid="{00000000-0005-0000-0000-0000FD0F0000}"/>
    <cellStyle name="Dane wejściowe 4" xfId="4040" xr:uid="{00000000-0005-0000-0000-0000FE0F0000}"/>
    <cellStyle name="Dane wejściowe 5" xfId="4041" xr:uid="{00000000-0005-0000-0000-0000FF0F0000}"/>
    <cellStyle name="Dane wejściowe 6" xfId="4042" xr:uid="{00000000-0005-0000-0000-000000100000}"/>
    <cellStyle name="Dane wyjściowe" xfId="4043" xr:uid="{00000000-0005-0000-0000-000001100000}"/>
    <cellStyle name="Dane wyjściowe 2" xfId="4044" xr:uid="{00000000-0005-0000-0000-000002100000}"/>
    <cellStyle name="Dane wyjściowe 2 2" xfId="4045" xr:uid="{00000000-0005-0000-0000-000003100000}"/>
    <cellStyle name="Dane wyjściowe 2 3" xfId="4046" xr:uid="{00000000-0005-0000-0000-000004100000}"/>
    <cellStyle name="Dane wyjściowe 3" xfId="4047" xr:uid="{00000000-0005-0000-0000-000005100000}"/>
    <cellStyle name="Dane wyjściowe 4" xfId="4048" xr:uid="{00000000-0005-0000-0000-000006100000}"/>
    <cellStyle name="Dane wyjściowe 5" xfId="4049" xr:uid="{00000000-0005-0000-0000-000007100000}"/>
    <cellStyle name="Dane wyjściowe 6" xfId="4050" xr:uid="{00000000-0005-0000-0000-000008100000}"/>
    <cellStyle name="Data" xfId="4051" xr:uid="{00000000-0005-0000-0000-000009100000}"/>
    <cellStyle name="Date" xfId="4052" xr:uid="{00000000-0005-0000-0000-00000A100000}"/>
    <cellStyle name="Date 2" xfId="4053" xr:uid="{00000000-0005-0000-0000-00000B100000}"/>
    <cellStyle name="Date 3" xfId="4054" xr:uid="{00000000-0005-0000-0000-00000C100000}"/>
    <cellStyle name="Date Aligned" xfId="4055" xr:uid="{00000000-0005-0000-0000-00000D100000}"/>
    <cellStyle name="Date_ATC Services 6+6 Forecast - 051008" xfId="4056" xr:uid="{00000000-0005-0000-0000-00000E100000}"/>
    <cellStyle name="dateformat" xfId="4057" xr:uid="{00000000-0005-0000-0000-00000F100000}"/>
    <cellStyle name="dateformatz" xfId="4058" xr:uid="{00000000-0005-0000-0000-000010100000}"/>
    <cellStyle name="Days" xfId="4059" xr:uid="{00000000-0005-0000-0000-000011100000}"/>
    <cellStyle name="Défaut" xfId="4060" xr:uid="{00000000-0005-0000-0000-000012100000}"/>
    <cellStyle name="Deviant" xfId="4061" xr:uid="{00000000-0005-0000-0000-000013100000}"/>
    <cellStyle name="Deviant 2" xfId="4062" xr:uid="{00000000-0005-0000-0000-000014100000}"/>
    <cellStyle name="Deviant 3" xfId="4063" xr:uid="{00000000-0005-0000-0000-000015100000}"/>
    <cellStyle name="Dezimal [0]_aM120029" xfId="4064" xr:uid="{00000000-0005-0000-0000-000016100000}"/>
    <cellStyle name="Dezimal 2" xfId="4065" xr:uid="{00000000-0005-0000-0000-000017100000}"/>
    <cellStyle name="Dezimal_aM120029" xfId="4066" xr:uid="{00000000-0005-0000-0000-000018100000}"/>
    <cellStyle name="Dobre" xfId="4067" xr:uid="{00000000-0005-0000-0000-000019100000}"/>
    <cellStyle name="Dobre 2" xfId="4068" xr:uid="{00000000-0005-0000-0000-00001A100000}"/>
    <cellStyle name="Dotted Line" xfId="4069" xr:uid="{00000000-0005-0000-0000-00001B100000}"/>
    <cellStyle name="Dziesiętny 2" xfId="4070" xr:uid="{00000000-0005-0000-0000-00001C100000}"/>
    <cellStyle name="Dziesiętny 2 2" xfId="14806" xr:uid="{00000000-0005-0000-0000-00001D100000}"/>
    <cellStyle name="Dziesiętny 3" xfId="4071" xr:uid="{00000000-0005-0000-0000-00001E100000}"/>
    <cellStyle name="Dålig" xfId="4034" xr:uid="{00000000-0005-0000-0000-0000F80F0000}"/>
    <cellStyle name="Effect Symbol" xfId="4072" xr:uid="{00000000-0005-0000-0000-00001F100000}"/>
    <cellStyle name="Eingabe" xfId="4073" xr:uid="{00000000-0005-0000-0000-000020100000}"/>
    <cellStyle name="Eingabe 2" xfId="4074" xr:uid="{00000000-0005-0000-0000-000021100000}"/>
    <cellStyle name="Eingabe 3" xfId="4075" xr:uid="{00000000-0005-0000-0000-000022100000}"/>
    <cellStyle name="Ellenőrzőcella 2" xfId="4076" xr:uid="{00000000-0005-0000-0000-000023100000}"/>
    <cellStyle name="Emphase 1" xfId="4077" xr:uid="{00000000-0005-0000-0000-000024100000}"/>
    <cellStyle name="Emphase 2" xfId="4078" xr:uid="{00000000-0005-0000-0000-000025100000}"/>
    <cellStyle name="Emphase 3" xfId="4079" xr:uid="{00000000-0005-0000-0000-000026100000}"/>
    <cellStyle name="Encabezado 4" xfId="4080" xr:uid="{00000000-0005-0000-0000-000027100000}"/>
    <cellStyle name="EncTitre" xfId="4081" xr:uid="{00000000-0005-0000-0000-000028100000}"/>
    <cellStyle name="EncTitre 2" xfId="4082" xr:uid="{00000000-0005-0000-0000-000029100000}"/>
    <cellStyle name="EncTitre 2 2" xfId="4083" xr:uid="{00000000-0005-0000-0000-00002A100000}"/>
    <cellStyle name="EncTitre 2 3" xfId="4084" xr:uid="{00000000-0005-0000-0000-00002B100000}"/>
    <cellStyle name="EncTitre 3" xfId="4085" xr:uid="{00000000-0005-0000-0000-00002C100000}"/>
    <cellStyle name="EncTitre 3 2" xfId="4086" xr:uid="{00000000-0005-0000-0000-00002D100000}"/>
    <cellStyle name="EncTitre 3 3" xfId="4087" xr:uid="{00000000-0005-0000-0000-00002E100000}"/>
    <cellStyle name="EncTitre 4" xfId="4088" xr:uid="{00000000-0005-0000-0000-00002F100000}"/>
    <cellStyle name="EncTitre 4 2" xfId="4089" xr:uid="{00000000-0005-0000-0000-000030100000}"/>
    <cellStyle name="EncTitre 5" xfId="4090" xr:uid="{00000000-0005-0000-0000-000031100000}"/>
    <cellStyle name="Énfasis1" xfId="4091" xr:uid="{00000000-0005-0000-0000-000032100000}"/>
    <cellStyle name="Énfasis2" xfId="4092" xr:uid="{00000000-0005-0000-0000-000033100000}"/>
    <cellStyle name="Énfasis3" xfId="4093" xr:uid="{00000000-0005-0000-0000-000034100000}"/>
    <cellStyle name="Énfasis4" xfId="4094" xr:uid="{00000000-0005-0000-0000-000035100000}"/>
    <cellStyle name="Énfasis5" xfId="4095" xr:uid="{00000000-0005-0000-0000-000036100000}"/>
    <cellStyle name="Énfasis6" xfId="4096" xr:uid="{00000000-0005-0000-0000-000037100000}"/>
    <cellStyle name="Entrada" xfId="4097" xr:uid="{00000000-0005-0000-0000-000038100000}"/>
    <cellStyle name="Entrada 10" xfId="4098" xr:uid="{00000000-0005-0000-0000-000039100000}"/>
    <cellStyle name="Entrada 10 2" xfId="4099" xr:uid="{00000000-0005-0000-0000-00003A100000}"/>
    <cellStyle name="Entrada 10 2 2" xfId="4100" xr:uid="{00000000-0005-0000-0000-00003B100000}"/>
    <cellStyle name="Entrada 10 2 3" xfId="4101" xr:uid="{00000000-0005-0000-0000-00003C100000}"/>
    <cellStyle name="Entrada 10 2 4" xfId="4102" xr:uid="{00000000-0005-0000-0000-00003D100000}"/>
    <cellStyle name="Entrada 10 2 5" xfId="4103" xr:uid="{00000000-0005-0000-0000-00003E100000}"/>
    <cellStyle name="Entrada 10 3" xfId="4104" xr:uid="{00000000-0005-0000-0000-00003F100000}"/>
    <cellStyle name="Entrada 10 4" xfId="4105" xr:uid="{00000000-0005-0000-0000-000040100000}"/>
    <cellStyle name="Entrada 10 5" xfId="4106" xr:uid="{00000000-0005-0000-0000-000041100000}"/>
    <cellStyle name="Entrada 10 6" xfId="4107" xr:uid="{00000000-0005-0000-0000-000042100000}"/>
    <cellStyle name="Entrada 11" xfId="4108" xr:uid="{00000000-0005-0000-0000-000043100000}"/>
    <cellStyle name="Entrada 11 2" xfId="4109" xr:uid="{00000000-0005-0000-0000-000044100000}"/>
    <cellStyle name="Entrada 11 2 2" xfId="4110" xr:uid="{00000000-0005-0000-0000-000045100000}"/>
    <cellStyle name="Entrada 11 2 3" xfId="4111" xr:uid="{00000000-0005-0000-0000-000046100000}"/>
    <cellStyle name="Entrada 11 2 4" xfId="4112" xr:uid="{00000000-0005-0000-0000-000047100000}"/>
    <cellStyle name="Entrada 11 2 5" xfId="4113" xr:uid="{00000000-0005-0000-0000-000048100000}"/>
    <cellStyle name="Entrada 11 3" xfId="4114" xr:uid="{00000000-0005-0000-0000-000049100000}"/>
    <cellStyle name="Entrada 11 4" xfId="4115" xr:uid="{00000000-0005-0000-0000-00004A100000}"/>
    <cellStyle name="Entrada 11 5" xfId="4116" xr:uid="{00000000-0005-0000-0000-00004B100000}"/>
    <cellStyle name="Entrada 11 6" xfId="4117" xr:uid="{00000000-0005-0000-0000-00004C100000}"/>
    <cellStyle name="Entrada 12" xfId="4118" xr:uid="{00000000-0005-0000-0000-00004D100000}"/>
    <cellStyle name="Entrada 12 2" xfId="4119" xr:uid="{00000000-0005-0000-0000-00004E100000}"/>
    <cellStyle name="Entrada 12 2 2" xfId="4120" xr:uid="{00000000-0005-0000-0000-00004F100000}"/>
    <cellStyle name="Entrada 12 2 3" xfId="4121" xr:uid="{00000000-0005-0000-0000-000050100000}"/>
    <cellStyle name="Entrada 12 2 4" xfId="4122" xr:uid="{00000000-0005-0000-0000-000051100000}"/>
    <cellStyle name="Entrada 12 2 5" xfId="4123" xr:uid="{00000000-0005-0000-0000-000052100000}"/>
    <cellStyle name="Entrada 12 3" xfId="4124" xr:uid="{00000000-0005-0000-0000-000053100000}"/>
    <cellStyle name="Entrada 12 4" xfId="4125" xr:uid="{00000000-0005-0000-0000-000054100000}"/>
    <cellStyle name="Entrada 12 5" xfId="4126" xr:uid="{00000000-0005-0000-0000-000055100000}"/>
    <cellStyle name="Entrada 12 6" xfId="4127" xr:uid="{00000000-0005-0000-0000-000056100000}"/>
    <cellStyle name="Entrada 13" xfId="4128" xr:uid="{00000000-0005-0000-0000-000057100000}"/>
    <cellStyle name="Entrada 13 2" xfId="4129" xr:uid="{00000000-0005-0000-0000-000058100000}"/>
    <cellStyle name="Entrada 13 2 2" xfId="4130" xr:uid="{00000000-0005-0000-0000-000059100000}"/>
    <cellStyle name="Entrada 13 2 3" xfId="4131" xr:uid="{00000000-0005-0000-0000-00005A100000}"/>
    <cellStyle name="Entrada 13 2 4" xfId="4132" xr:uid="{00000000-0005-0000-0000-00005B100000}"/>
    <cellStyle name="Entrada 13 2 5" xfId="4133" xr:uid="{00000000-0005-0000-0000-00005C100000}"/>
    <cellStyle name="Entrada 13 3" xfId="4134" xr:uid="{00000000-0005-0000-0000-00005D100000}"/>
    <cellStyle name="Entrada 13 4" xfId="4135" xr:uid="{00000000-0005-0000-0000-00005E100000}"/>
    <cellStyle name="Entrada 13 5" xfId="4136" xr:uid="{00000000-0005-0000-0000-00005F100000}"/>
    <cellStyle name="Entrada 13 6" xfId="4137" xr:uid="{00000000-0005-0000-0000-000060100000}"/>
    <cellStyle name="Entrada 14" xfId="4138" xr:uid="{00000000-0005-0000-0000-000061100000}"/>
    <cellStyle name="Entrada 14 2" xfId="4139" xr:uid="{00000000-0005-0000-0000-000062100000}"/>
    <cellStyle name="Entrada 14 2 2" xfId="4140" xr:uid="{00000000-0005-0000-0000-000063100000}"/>
    <cellStyle name="Entrada 14 2 3" xfId="4141" xr:uid="{00000000-0005-0000-0000-000064100000}"/>
    <cellStyle name="Entrada 14 2 4" xfId="4142" xr:uid="{00000000-0005-0000-0000-000065100000}"/>
    <cellStyle name="Entrada 14 2 5" xfId="4143" xr:uid="{00000000-0005-0000-0000-000066100000}"/>
    <cellStyle name="Entrada 14 3" xfId="4144" xr:uid="{00000000-0005-0000-0000-000067100000}"/>
    <cellStyle name="Entrada 14 4" xfId="4145" xr:uid="{00000000-0005-0000-0000-000068100000}"/>
    <cellStyle name="Entrada 14 5" xfId="4146" xr:uid="{00000000-0005-0000-0000-000069100000}"/>
    <cellStyle name="Entrada 14 6" xfId="4147" xr:uid="{00000000-0005-0000-0000-00006A100000}"/>
    <cellStyle name="Entrada 15" xfId="4148" xr:uid="{00000000-0005-0000-0000-00006B100000}"/>
    <cellStyle name="Entrada 15 2" xfId="4149" xr:uid="{00000000-0005-0000-0000-00006C100000}"/>
    <cellStyle name="Entrada 15 2 2" xfId="4150" xr:uid="{00000000-0005-0000-0000-00006D100000}"/>
    <cellStyle name="Entrada 15 2 3" xfId="4151" xr:uid="{00000000-0005-0000-0000-00006E100000}"/>
    <cellStyle name="Entrada 15 2 4" xfId="4152" xr:uid="{00000000-0005-0000-0000-00006F100000}"/>
    <cellStyle name="Entrada 15 2 5" xfId="4153" xr:uid="{00000000-0005-0000-0000-000070100000}"/>
    <cellStyle name="Entrada 15 3" xfId="4154" xr:uid="{00000000-0005-0000-0000-000071100000}"/>
    <cellStyle name="Entrada 15 4" xfId="4155" xr:uid="{00000000-0005-0000-0000-000072100000}"/>
    <cellStyle name="Entrada 15 5" xfId="4156" xr:uid="{00000000-0005-0000-0000-000073100000}"/>
    <cellStyle name="Entrada 15 6" xfId="4157" xr:uid="{00000000-0005-0000-0000-000074100000}"/>
    <cellStyle name="Entrada 16" xfId="4158" xr:uid="{00000000-0005-0000-0000-000075100000}"/>
    <cellStyle name="Entrada 16 2" xfId="4159" xr:uid="{00000000-0005-0000-0000-000076100000}"/>
    <cellStyle name="Entrada 16 2 2" xfId="4160" xr:uid="{00000000-0005-0000-0000-000077100000}"/>
    <cellStyle name="Entrada 16 2 3" xfId="4161" xr:uid="{00000000-0005-0000-0000-000078100000}"/>
    <cellStyle name="Entrada 16 2 4" xfId="4162" xr:uid="{00000000-0005-0000-0000-000079100000}"/>
    <cellStyle name="Entrada 16 2 5" xfId="4163" xr:uid="{00000000-0005-0000-0000-00007A100000}"/>
    <cellStyle name="Entrada 16 3" xfId="4164" xr:uid="{00000000-0005-0000-0000-00007B100000}"/>
    <cellStyle name="Entrada 16 4" xfId="4165" xr:uid="{00000000-0005-0000-0000-00007C100000}"/>
    <cellStyle name="Entrada 16 5" xfId="4166" xr:uid="{00000000-0005-0000-0000-00007D100000}"/>
    <cellStyle name="Entrada 16 6" xfId="4167" xr:uid="{00000000-0005-0000-0000-00007E100000}"/>
    <cellStyle name="Entrada 17" xfId="4168" xr:uid="{00000000-0005-0000-0000-00007F100000}"/>
    <cellStyle name="Entrada 17 2" xfId="4169" xr:uid="{00000000-0005-0000-0000-000080100000}"/>
    <cellStyle name="Entrada 17 2 2" xfId="4170" xr:uid="{00000000-0005-0000-0000-000081100000}"/>
    <cellStyle name="Entrada 17 2 3" xfId="4171" xr:uid="{00000000-0005-0000-0000-000082100000}"/>
    <cellStyle name="Entrada 17 2 4" xfId="4172" xr:uid="{00000000-0005-0000-0000-000083100000}"/>
    <cellStyle name="Entrada 17 2 5" xfId="4173" xr:uid="{00000000-0005-0000-0000-000084100000}"/>
    <cellStyle name="Entrada 17 3" xfId="4174" xr:uid="{00000000-0005-0000-0000-000085100000}"/>
    <cellStyle name="Entrada 17 4" xfId="4175" xr:uid="{00000000-0005-0000-0000-000086100000}"/>
    <cellStyle name="Entrada 17 5" xfId="4176" xr:uid="{00000000-0005-0000-0000-000087100000}"/>
    <cellStyle name="Entrada 17 6" xfId="4177" xr:uid="{00000000-0005-0000-0000-000088100000}"/>
    <cellStyle name="Entrada 18" xfId="4178" xr:uid="{00000000-0005-0000-0000-000089100000}"/>
    <cellStyle name="Entrada 18 2" xfId="4179" xr:uid="{00000000-0005-0000-0000-00008A100000}"/>
    <cellStyle name="Entrada 18 2 2" xfId="4180" xr:uid="{00000000-0005-0000-0000-00008B100000}"/>
    <cellStyle name="Entrada 18 2 3" xfId="4181" xr:uid="{00000000-0005-0000-0000-00008C100000}"/>
    <cellStyle name="Entrada 18 2 4" xfId="4182" xr:uid="{00000000-0005-0000-0000-00008D100000}"/>
    <cellStyle name="Entrada 18 2 5" xfId="4183" xr:uid="{00000000-0005-0000-0000-00008E100000}"/>
    <cellStyle name="Entrada 18 3" xfId="4184" xr:uid="{00000000-0005-0000-0000-00008F100000}"/>
    <cellStyle name="Entrada 18 4" xfId="4185" xr:uid="{00000000-0005-0000-0000-000090100000}"/>
    <cellStyle name="Entrada 18 5" xfId="4186" xr:uid="{00000000-0005-0000-0000-000091100000}"/>
    <cellStyle name="Entrada 18 6" xfId="4187" xr:uid="{00000000-0005-0000-0000-000092100000}"/>
    <cellStyle name="Entrada 19" xfId="4188" xr:uid="{00000000-0005-0000-0000-000093100000}"/>
    <cellStyle name="Entrada 19 2" xfId="4189" xr:uid="{00000000-0005-0000-0000-000094100000}"/>
    <cellStyle name="Entrada 19 3" xfId="4190" xr:uid="{00000000-0005-0000-0000-000095100000}"/>
    <cellStyle name="Entrada 19 4" xfId="4191" xr:uid="{00000000-0005-0000-0000-000096100000}"/>
    <cellStyle name="Entrada 19 5" xfId="4192" xr:uid="{00000000-0005-0000-0000-000097100000}"/>
    <cellStyle name="Entrada 2" xfId="4193" xr:uid="{00000000-0005-0000-0000-000098100000}"/>
    <cellStyle name="Entrada 2 2" xfId="4194" xr:uid="{00000000-0005-0000-0000-000099100000}"/>
    <cellStyle name="Entrada 2 2 2" xfId="4195" xr:uid="{00000000-0005-0000-0000-00009A100000}"/>
    <cellStyle name="Entrada 2 2 3" xfId="4196" xr:uid="{00000000-0005-0000-0000-00009B100000}"/>
    <cellStyle name="Entrada 2 2 4" xfId="4197" xr:uid="{00000000-0005-0000-0000-00009C100000}"/>
    <cellStyle name="Entrada 2 2 5" xfId="4198" xr:uid="{00000000-0005-0000-0000-00009D100000}"/>
    <cellStyle name="Entrada 2 3" xfId="4199" xr:uid="{00000000-0005-0000-0000-00009E100000}"/>
    <cellStyle name="Entrada 2 4" xfId="4200" xr:uid="{00000000-0005-0000-0000-00009F100000}"/>
    <cellStyle name="Entrada 2 5" xfId="4201" xr:uid="{00000000-0005-0000-0000-0000A0100000}"/>
    <cellStyle name="Entrada 2 6" xfId="4202" xr:uid="{00000000-0005-0000-0000-0000A1100000}"/>
    <cellStyle name="Entrada 20" xfId="4203" xr:uid="{00000000-0005-0000-0000-0000A2100000}"/>
    <cellStyle name="Entrada 21" xfId="4204" xr:uid="{00000000-0005-0000-0000-0000A3100000}"/>
    <cellStyle name="Entrada 22" xfId="4205" xr:uid="{00000000-0005-0000-0000-0000A4100000}"/>
    <cellStyle name="Entrada 23" xfId="4206" xr:uid="{00000000-0005-0000-0000-0000A5100000}"/>
    <cellStyle name="Entrada 3" xfId="4207" xr:uid="{00000000-0005-0000-0000-0000A6100000}"/>
    <cellStyle name="Entrada 3 2" xfId="4208" xr:uid="{00000000-0005-0000-0000-0000A7100000}"/>
    <cellStyle name="Entrada 3 2 2" xfId="4209" xr:uid="{00000000-0005-0000-0000-0000A8100000}"/>
    <cellStyle name="Entrada 3 2 3" xfId="4210" xr:uid="{00000000-0005-0000-0000-0000A9100000}"/>
    <cellStyle name="Entrada 3 2 4" xfId="4211" xr:uid="{00000000-0005-0000-0000-0000AA100000}"/>
    <cellStyle name="Entrada 3 2 5" xfId="4212" xr:uid="{00000000-0005-0000-0000-0000AB100000}"/>
    <cellStyle name="Entrada 3 3" xfId="4213" xr:uid="{00000000-0005-0000-0000-0000AC100000}"/>
    <cellStyle name="Entrada 3 4" xfId="4214" xr:uid="{00000000-0005-0000-0000-0000AD100000}"/>
    <cellStyle name="Entrada 3 5" xfId="4215" xr:uid="{00000000-0005-0000-0000-0000AE100000}"/>
    <cellStyle name="Entrada 3 6" xfId="4216" xr:uid="{00000000-0005-0000-0000-0000AF100000}"/>
    <cellStyle name="Entrada 4" xfId="4217" xr:uid="{00000000-0005-0000-0000-0000B0100000}"/>
    <cellStyle name="Entrada 4 2" xfId="4218" xr:uid="{00000000-0005-0000-0000-0000B1100000}"/>
    <cellStyle name="Entrada 4 2 2" xfId="4219" xr:uid="{00000000-0005-0000-0000-0000B2100000}"/>
    <cellStyle name="Entrada 4 2 3" xfId="4220" xr:uid="{00000000-0005-0000-0000-0000B3100000}"/>
    <cellStyle name="Entrada 4 2 4" xfId="4221" xr:uid="{00000000-0005-0000-0000-0000B4100000}"/>
    <cellStyle name="Entrada 4 2 5" xfId="4222" xr:uid="{00000000-0005-0000-0000-0000B5100000}"/>
    <cellStyle name="Entrada 4 3" xfId="4223" xr:uid="{00000000-0005-0000-0000-0000B6100000}"/>
    <cellStyle name="Entrada 4 4" xfId="4224" xr:uid="{00000000-0005-0000-0000-0000B7100000}"/>
    <cellStyle name="Entrada 4 5" xfId="4225" xr:uid="{00000000-0005-0000-0000-0000B8100000}"/>
    <cellStyle name="Entrada 4 6" xfId="4226" xr:uid="{00000000-0005-0000-0000-0000B9100000}"/>
    <cellStyle name="Entrada 5" xfId="4227" xr:uid="{00000000-0005-0000-0000-0000BA100000}"/>
    <cellStyle name="Entrada 5 2" xfId="4228" xr:uid="{00000000-0005-0000-0000-0000BB100000}"/>
    <cellStyle name="Entrada 5 2 2" xfId="4229" xr:uid="{00000000-0005-0000-0000-0000BC100000}"/>
    <cellStyle name="Entrada 5 2 3" xfId="4230" xr:uid="{00000000-0005-0000-0000-0000BD100000}"/>
    <cellStyle name="Entrada 5 2 4" xfId="4231" xr:uid="{00000000-0005-0000-0000-0000BE100000}"/>
    <cellStyle name="Entrada 5 2 5" xfId="4232" xr:uid="{00000000-0005-0000-0000-0000BF100000}"/>
    <cellStyle name="Entrada 5 3" xfId="4233" xr:uid="{00000000-0005-0000-0000-0000C0100000}"/>
    <cellStyle name="Entrada 5 4" xfId="4234" xr:uid="{00000000-0005-0000-0000-0000C1100000}"/>
    <cellStyle name="Entrada 5 5" xfId="4235" xr:uid="{00000000-0005-0000-0000-0000C2100000}"/>
    <cellStyle name="Entrada 5 6" xfId="4236" xr:uid="{00000000-0005-0000-0000-0000C3100000}"/>
    <cellStyle name="Entrada 6" xfId="4237" xr:uid="{00000000-0005-0000-0000-0000C4100000}"/>
    <cellStyle name="Entrada 6 2" xfId="4238" xr:uid="{00000000-0005-0000-0000-0000C5100000}"/>
    <cellStyle name="Entrada 6 2 2" xfId="4239" xr:uid="{00000000-0005-0000-0000-0000C6100000}"/>
    <cellStyle name="Entrada 6 2 3" xfId="4240" xr:uid="{00000000-0005-0000-0000-0000C7100000}"/>
    <cellStyle name="Entrada 6 2 4" xfId="4241" xr:uid="{00000000-0005-0000-0000-0000C8100000}"/>
    <cellStyle name="Entrada 6 2 5" xfId="4242" xr:uid="{00000000-0005-0000-0000-0000C9100000}"/>
    <cellStyle name="Entrada 6 3" xfId="4243" xr:uid="{00000000-0005-0000-0000-0000CA100000}"/>
    <cellStyle name="Entrada 6 4" xfId="4244" xr:uid="{00000000-0005-0000-0000-0000CB100000}"/>
    <cellStyle name="Entrada 6 5" xfId="4245" xr:uid="{00000000-0005-0000-0000-0000CC100000}"/>
    <cellStyle name="Entrada 6 6" xfId="4246" xr:uid="{00000000-0005-0000-0000-0000CD100000}"/>
    <cellStyle name="Entrada 7" xfId="4247" xr:uid="{00000000-0005-0000-0000-0000CE100000}"/>
    <cellStyle name="Entrada 7 2" xfId="4248" xr:uid="{00000000-0005-0000-0000-0000CF100000}"/>
    <cellStyle name="Entrada 7 2 2" xfId="4249" xr:uid="{00000000-0005-0000-0000-0000D0100000}"/>
    <cellStyle name="Entrada 7 2 3" xfId="4250" xr:uid="{00000000-0005-0000-0000-0000D1100000}"/>
    <cellStyle name="Entrada 7 2 4" xfId="4251" xr:uid="{00000000-0005-0000-0000-0000D2100000}"/>
    <cellStyle name="Entrada 7 2 5" xfId="4252" xr:uid="{00000000-0005-0000-0000-0000D3100000}"/>
    <cellStyle name="Entrada 7 3" xfId="4253" xr:uid="{00000000-0005-0000-0000-0000D4100000}"/>
    <cellStyle name="Entrada 7 4" xfId="4254" xr:uid="{00000000-0005-0000-0000-0000D5100000}"/>
    <cellStyle name="Entrada 7 5" xfId="4255" xr:uid="{00000000-0005-0000-0000-0000D6100000}"/>
    <cellStyle name="Entrada 7 6" xfId="4256" xr:uid="{00000000-0005-0000-0000-0000D7100000}"/>
    <cellStyle name="Entrada 8" xfId="4257" xr:uid="{00000000-0005-0000-0000-0000D8100000}"/>
    <cellStyle name="Entrada 8 2" xfId="4258" xr:uid="{00000000-0005-0000-0000-0000D9100000}"/>
    <cellStyle name="Entrada 8 2 2" xfId="4259" xr:uid="{00000000-0005-0000-0000-0000DA100000}"/>
    <cellStyle name="Entrada 8 2 3" xfId="4260" xr:uid="{00000000-0005-0000-0000-0000DB100000}"/>
    <cellStyle name="Entrada 8 2 4" xfId="4261" xr:uid="{00000000-0005-0000-0000-0000DC100000}"/>
    <cellStyle name="Entrada 8 2 5" xfId="4262" xr:uid="{00000000-0005-0000-0000-0000DD100000}"/>
    <cellStyle name="Entrada 8 3" xfId="4263" xr:uid="{00000000-0005-0000-0000-0000DE100000}"/>
    <cellStyle name="Entrada 8 4" xfId="4264" xr:uid="{00000000-0005-0000-0000-0000DF100000}"/>
    <cellStyle name="Entrada 8 5" xfId="4265" xr:uid="{00000000-0005-0000-0000-0000E0100000}"/>
    <cellStyle name="Entrada 8 6" xfId="4266" xr:uid="{00000000-0005-0000-0000-0000E1100000}"/>
    <cellStyle name="Entrada 9" xfId="4267" xr:uid="{00000000-0005-0000-0000-0000E2100000}"/>
    <cellStyle name="Entrada 9 2" xfId="4268" xr:uid="{00000000-0005-0000-0000-0000E3100000}"/>
    <cellStyle name="Entrada 9 2 2" xfId="4269" xr:uid="{00000000-0005-0000-0000-0000E4100000}"/>
    <cellStyle name="Entrada 9 2 3" xfId="4270" xr:uid="{00000000-0005-0000-0000-0000E5100000}"/>
    <cellStyle name="Entrada 9 2 4" xfId="4271" xr:uid="{00000000-0005-0000-0000-0000E6100000}"/>
    <cellStyle name="Entrada 9 2 5" xfId="4272" xr:uid="{00000000-0005-0000-0000-0000E7100000}"/>
    <cellStyle name="Entrada 9 3" xfId="4273" xr:uid="{00000000-0005-0000-0000-0000E8100000}"/>
    <cellStyle name="Entrada 9 4" xfId="4274" xr:uid="{00000000-0005-0000-0000-0000E9100000}"/>
    <cellStyle name="Entrada 9 5" xfId="4275" xr:uid="{00000000-0005-0000-0000-0000EA100000}"/>
    <cellStyle name="Entrada 9 6" xfId="4276" xr:uid="{00000000-0005-0000-0000-0000EB100000}"/>
    <cellStyle name="Entrada_KTR An-Abflug" xfId="14892" xr:uid="{00000000-0005-0000-0000-0000EC100000}"/>
    <cellStyle name="Entrée 10" xfId="4277" xr:uid="{00000000-0005-0000-0000-0000ED100000}"/>
    <cellStyle name="Entrée 10 2" xfId="4278" xr:uid="{00000000-0005-0000-0000-0000EE100000}"/>
    <cellStyle name="Entrée 10 2 2" xfId="4279" xr:uid="{00000000-0005-0000-0000-0000EF100000}"/>
    <cellStyle name="Entrée 10 2 3" xfId="4280" xr:uid="{00000000-0005-0000-0000-0000F0100000}"/>
    <cellStyle name="Entrée 10 2 4" xfId="4281" xr:uid="{00000000-0005-0000-0000-0000F1100000}"/>
    <cellStyle name="Entrée 10 2 5" xfId="4282" xr:uid="{00000000-0005-0000-0000-0000F2100000}"/>
    <cellStyle name="Entrée 10 3" xfId="4283" xr:uid="{00000000-0005-0000-0000-0000F3100000}"/>
    <cellStyle name="Entrée 10 4" xfId="4284" xr:uid="{00000000-0005-0000-0000-0000F4100000}"/>
    <cellStyle name="Entrée 10 5" xfId="4285" xr:uid="{00000000-0005-0000-0000-0000F5100000}"/>
    <cellStyle name="Entrée 10 6" xfId="4286" xr:uid="{00000000-0005-0000-0000-0000F6100000}"/>
    <cellStyle name="Entrée 11" xfId="4287" xr:uid="{00000000-0005-0000-0000-0000F7100000}"/>
    <cellStyle name="Entrée 11 2" xfId="4288" xr:uid="{00000000-0005-0000-0000-0000F8100000}"/>
    <cellStyle name="Entrée 11 2 2" xfId="4289" xr:uid="{00000000-0005-0000-0000-0000F9100000}"/>
    <cellStyle name="Entrée 11 2 3" xfId="4290" xr:uid="{00000000-0005-0000-0000-0000FA100000}"/>
    <cellStyle name="Entrée 11 2 4" xfId="4291" xr:uid="{00000000-0005-0000-0000-0000FB100000}"/>
    <cellStyle name="Entrée 11 2 5" xfId="4292" xr:uid="{00000000-0005-0000-0000-0000FC100000}"/>
    <cellStyle name="Entrée 11 3" xfId="4293" xr:uid="{00000000-0005-0000-0000-0000FD100000}"/>
    <cellStyle name="Entrée 11 4" xfId="4294" xr:uid="{00000000-0005-0000-0000-0000FE100000}"/>
    <cellStyle name="Entrée 11 5" xfId="4295" xr:uid="{00000000-0005-0000-0000-0000FF100000}"/>
    <cellStyle name="Entrée 11 6" xfId="4296" xr:uid="{00000000-0005-0000-0000-000000110000}"/>
    <cellStyle name="Entrée 12" xfId="4297" xr:uid="{00000000-0005-0000-0000-000001110000}"/>
    <cellStyle name="Entrée 12 2" xfId="4298" xr:uid="{00000000-0005-0000-0000-000002110000}"/>
    <cellStyle name="Entrée 12 2 2" xfId="4299" xr:uid="{00000000-0005-0000-0000-000003110000}"/>
    <cellStyle name="Entrée 12 2 3" xfId="4300" xr:uid="{00000000-0005-0000-0000-000004110000}"/>
    <cellStyle name="Entrée 12 2 4" xfId="4301" xr:uid="{00000000-0005-0000-0000-000005110000}"/>
    <cellStyle name="Entrée 12 2 5" xfId="4302" xr:uid="{00000000-0005-0000-0000-000006110000}"/>
    <cellStyle name="Entrée 12 3" xfId="4303" xr:uid="{00000000-0005-0000-0000-000007110000}"/>
    <cellStyle name="Entrée 12 4" xfId="4304" xr:uid="{00000000-0005-0000-0000-000008110000}"/>
    <cellStyle name="Entrée 12 5" xfId="4305" xr:uid="{00000000-0005-0000-0000-000009110000}"/>
    <cellStyle name="Entrée 12 6" xfId="4306" xr:uid="{00000000-0005-0000-0000-00000A110000}"/>
    <cellStyle name="Entrée 13" xfId="4307" xr:uid="{00000000-0005-0000-0000-00000B110000}"/>
    <cellStyle name="Entrée 13 2" xfId="4308" xr:uid="{00000000-0005-0000-0000-00000C110000}"/>
    <cellStyle name="Entrée 13 2 2" xfId="4309" xr:uid="{00000000-0005-0000-0000-00000D110000}"/>
    <cellStyle name="Entrée 13 2 3" xfId="4310" xr:uid="{00000000-0005-0000-0000-00000E110000}"/>
    <cellStyle name="Entrée 13 2 4" xfId="4311" xr:uid="{00000000-0005-0000-0000-00000F110000}"/>
    <cellStyle name="Entrée 13 2 5" xfId="4312" xr:uid="{00000000-0005-0000-0000-000010110000}"/>
    <cellStyle name="Entrée 13 3" xfId="4313" xr:uid="{00000000-0005-0000-0000-000011110000}"/>
    <cellStyle name="Entrée 13 4" xfId="4314" xr:uid="{00000000-0005-0000-0000-000012110000}"/>
    <cellStyle name="Entrée 13 5" xfId="4315" xr:uid="{00000000-0005-0000-0000-000013110000}"/>
    <cellStyle name="Entrée 13 6" xfId="4316" xr:uid="{00000000-0005-0000-0000-000014110000}"/>
    <cellStyle name="Entrée 14" xfId="4317" xr:uid="{00000000-0005-0000-0000-000015110000}"/>
    <cellStyle name="Entrée 14 2" xfId="4318" xr:uid="{00000000-0005-0000-0000-000016110000}"/>
    <cellStyle name="Entrée 14 2 2" xfId="4319" xr:uid="{00000000-0005-0000-0000-000017110000}"/>
    <cellStyle name="Entrée 14 2 3" xfId="4320" xr:uid="{00000000-0005-0000-0000-000018110000}"/>
    <cellStyle name="Entrée 14 2 4" xfId="4321" xr:uid="{00000000-0005-0000-0000-000019110000}"/>
    <cellStyle name="Entrée 14 2 5" xfId="4322" xr:uid="{00000000-0005-0000-0000-00001A110000}"/>
    <cellStyle name="Entrée 14 3" xfId="4323" xr:uid="{00000000-0005-0000-0000-00001B110000}"/>
    <cellStyle name="Entrée 14 4" xfId="4324" xr:uid="{00000000-0005-0000-0000-00001C110000}"/>
    <cellStyle name="Entrée 14 5" xfId="4325" xr:uid="{00000000-0005-0000-0000-00001D110000}"/>
    <cellStyle name="Entrée 14 6" xfId="4326" xr:uid="{00000000-0005-0000-0000-00001E110000}"/>
    <cellStyle name="Entrée 15" xfId="4327" xr:uid="{00000000-0005-0000-0000-00001F110000}"/>
    <cellStyle name="Entrée 15 2" xfId="4328" xr:uid="{00000000-0005-0000-0000-000020110000}"/>
    <cellStyle name="Entrée 15 2 2" xfId="4329" xr:uid="{00000000-0005-0000-0000-000021110000}"/>
    <cellStyle name="Entrée 15 2 3" xfId="4330" xr:uid="{00000000-0005-0000-0000-000022110000}"/>
    <cellStyle name="Entrée 15 2 4" xfId="4331" xr:uid="{00000000-0005-0000-0000-000023110000}"/>
    <cellStyle name="Entrée 15 2 5" xfId="4332" xr:uid="{00000000-0005-0000-0000-000024110000}"/>
    <cellStyle name="Entrée 15 3" xfId="4333" xr:uid="{00000000-0005-0000-0000-000025110000}"/>
    <cellStyle name="Entrée 15 4" xfId="4334" xr:uid="{00000000-0005-0000-0000-000026110000}"/>
    <cellStyle name="Entrée 15 5" xfId="4335" xr:uid="{00000000-0005-0000-0000-000027110000}"/>
    <cellStyle name="Entrée 15 6" xfId="4336" xr:uid="{00000000-0005-0000-0000-000028110000}"/>
    <cellStyle name="Entrée 16" xfId="4337" xr:uid="{00000000-0005-0000-0000-000029110000}"/>
    <cellStyle name="Entrée 16 2" xfId="4338" xr:uid="{00000000-0005-0000-0000-00002A110000}"/>
    <cellStyle name="Entrée 16 3" xfId="4339" xr:uid="{00000000-0005-0000-0000-00002B110000}"/>
    <cellStyle name="Entrée 16 4" xfId="4340" xr:uid="{00000000-0005-0000-0000-00002C110000}"/>
    <cellStyle name="Entrée 16 5" xfId="4341" xr:uid="{00000000-0005-0000-0000-00002D110000}"/>
    <cellStyle name="Entrée 17" xfId="4342" xr:uid="{00000000-0005-0000-0000-00002E110000}"/>
    <cellStyle name="Entrée 17 2" xfId="4343" xr:uid="{00000000-0005-0000-0000-00002F110000}"/>
    <cellStyle name="Entrée 17 3" xfId="4344" xr:uid="{00000000-0005-0000-0000-000030110000}"/>
    <cellStyle name="Entrée 18" xfId="4345" xr:uid="{00000000-0005-0000-0000-000031110000}"/>
    <cellStyle name="Entrée 19" xfId="4346" xr:uid="{00000000-0005-0000-0000-000032110000}"/>
    <cellStyle name="Entrée 2" xfId="4347" xr:uid="{00000000-0005-0000-0000-000033110000}"/>
    <cellStyle name="Entrée 2 2" xfId="4348" xr:uid="{00000000-0005-0000-0000-000034110000}"/>
    <cellStyle name="Entrée 2 2 2" xfId="4349" xr:uid="{00000000-0005-0000-0000-000035110000}"/>
    <cellStyle name="Entrée 2 2 2 2" xfId="4350" xr:uid="{00000000-0005-0000-0000-000036110000}"/>
    <cellStyle name="Entrée 2 2 3" xfId="4351" xr:uid="{00000000-0005-0000-0000-000037110000}"/>
    <cellStyle name="Entrée 2 2 3 2" xfId="4352" xr:uid="{00000000-0005-0000-0000-000038110000}"/>
    <cellStyle name="Entrée 2 2 4" xfId="4353" xr:uid="{00000000-0005-0000-0000-000039110000}"/>
    <cellStyle name="Entrée 2 2 4 2" xfId="4354" xr:uid="{00000000-0005-0000-0000-00003A110000}"/>
    <cellStyle name="Entrée 2 2 5" xfId="4355" xr:uid="{00000000-0005-0000-0000-00003B110000}"/>
    <cellStyle name="Entrée 2 3" xfId="4356" xr:uid="{00000000-0005-0000-0000-00003C110000}"/>
    <cellStyle name="Entrée 2 3 2" xfId="4357" xr:uid="{00000000-0005-0000-0000-00003D110000}"/>
    <cellStyle name="Entrée 2 4" xfId="4358" xr:uid="{00000000-0005-0000-0000-00003E110000}"/>
    <cellStyle name="Entrée 2 4 2" xfId="4359" xr:uid="{00000000-0005-0000-0000-00003F110000}"/>
    <cellStyle name="Entrée 2 5" xfId="4360" xr:uid="{00000000-0005-0000-0000-000040110000}"/>
    <cellStyle name="Entrée 2 5 2" xfId="4361" xr:uid="{00000000-0005-0000-0000-000041110000}"/>
    <cellStyle name="Entrée 2 6" xfId="4362" xr:uid="{00000000-0005-0000-0000-000042110000}"/>
    <cellStyle name="Entrée 2_130725 DSNA 2011 Dossier de révision initial" xfId="14875" xr:uid="{00000000-0005-0000-0000-000043110000}"/>
    <cellStyle name="Entrée 20" xfId="4363" xr:uid="{00000000-0005-0000-0000-000044110000}"/>
    <cellStyle name="Entrée 3" xfId="4364" xr:uid="{00000000-0005-0000-0000-000045110000}"/>
    <cellStyle name="Entrée 3 2" xfId="4365" xr:uid="{00000000-0005-0000-0000-000046110000}"/>
    <cellStyle name="Entrée 3 2 2" xfId="4366" xr:uid="{00000000-0005-0000-0000-000047110000}"/>
    <cellStyle name="Entrée 3 2 3" xfId="4367" xr:uid="{00000000-0005-0000-0000-000048110000}"/>
    <cellStyle name="Entrée 3 2 4" xfId="4368" xr:uid="{00000000-0005-0000-0000-000049110000}"/>
    <cellStyle name="Entrée 3 2 5" xfId="4369" xr:uid="{00000000-0005-0000-0000-00004A110000}"/>
    <cellStyle name="Entrée 3 3" xfId="4370" xr:uid="{00000000-0005-0000-0000-00004B110000}"/>
    <cellStyle name="Entrée 3 3 2" xfId="4371" xr:uid="{00000000-0005-0000-0000-00004C110000}"/>
    <cellStyle name="Entrée 3 4" xfId="4372" xr:uid="{00000000-0005-0000-0000-00004D110000}"/>
    <cellStyle name="Entrée 3 4 2" xfId="4373" xr:uid="{00000000-0005-0000-0000-00004E110000}"/>
    <cellStyle name="Entrée 3 5" xfId="4374" xr:uid="{00000000-0005-0000-0000-00004F110000}"/>
    <cellStyle name="Entrée 3 6" xfId="4375" xr:uid="{00000000-0005-0000-0000-000050110000}"/>
    <cellStyle name="Entrée 4" xfId="4376" xr:uid="{00000000-0005-0000-0000-000051110000}"/>
    <cellStyle name="Entrée 4 2" xfId="4377" xr:uid="{00000000-0005-0000-0000-000052110000}"/>
    <cellStyle name="Entrée 4 2 2" xfId="4378" xr:uid="{00000000-0005-0000-0000-000053110000}"/>
    <cellStyle name="Entrée 4 2 3" xfId="4379" xr:uid="{00000000-0005-0000-0000-000054110000}"/>
    <cellStyle name="Entrée 4 2 4" xfId="4380" xr:uid="{00000000-0005-0000-0000-000055110000}"/>
    <cellStyle name="Entrée 4 2 5" xfId="4381" xr:uid="{00000000-0005-0000-0000-000056110000}"/>
    <cellStyle name="Entrée 4 3" xfId="4382" xr:uid="{00000000-0005-0000-0000-000057110000}"/>
    <cellStyle name="Entrée 4 3 2" xfId="4383" xr:uid="{00000000-0005-0000-0000-000058110000}"/>
    <cellStyle name="Entrée 4 3 3" xfId="4384" xr:uid="{00000000-0005-0000-0000-000059110000}"/>
    <cellStyle name="Entrée 4 4" xfId="4385" xr:uid="{00000000-0005-0000-0000-00005A110000}"/>
    <cellStyle name="Entrée 4 5" xfId="4386" xr:uid="{00000000-0005-0000-0000-00005B110000}"/>
    <cellStyle name="Entrée 5" xfId="4387" xr:uid="{00000000-0005-0000-0000-00005C110000}"/>
    <cellStyle name="Entrée 5 2" xfId="4388" xr:uid="{00000000-0005-0000-0000-00005D110000}"/>
    <cellStyle name="Entrée 5 2 2" xfId="4389" xr:uid="{00000000-0005-0000-0000-00005E110000}"/>
    <cellStyle name="Entrée 5 2 3" xfId="4390" xr:uid="{00000000-0005-0000-0000-00005F110000}"/>
    <cellStyle name="Entrée 5 2 4" xfId="4391" xr:uid="{00000000-0005-0000-0000-000060110000}"/>
    <cellStyle name="Entrée 5 2 5" xfId="4392" xr:uid="{00000000-0005-0000-0000-000061110000}"/>
    <cellStyle name="Entrée 5 3" xfId="4393" xr:uid="{00000000-0005-0000-0000-000062110000}"/>
    <cellStyle name="Entrée 5 3 2" xfId="4394" xr:uid="{00000000-0005-0000-0000-000063110000}"/>
    <cellStyle name="Entrée 5 4" xfId="4395" xr:uid="{00000000-0005-0000-0000-000064110000}"/>
    <cellStyle name="Entrée 5 5" xfId="4396" xr:uid="{00000000-0005-0000-0000-000065110000}"/>
    <cellStyle name="Entrée 5 6" xfId="4397" xr:uid="{00000000-0005-0000-0000-000066110000}"/>
    <cellStyle name="Entrée 6" xfId="4398" xr:uid="{00000000-0005-0000-0000-000067110000}"/>
    <cellStyle name="Entrée 6 2" xfId="4399" xr:uid="{00000000-0005-0000-0000-000068110000}"/>
    <cellStyle name="Entrée 6 2 2" xfId="4400" xr:uid="{00000000-0005-0000-0000-000069110000}"/>
    <cellStyle name="Entrée 6 2 3" xfId="4401" xr:uid="{00000000-0005-0000-0000-00006A110000}"/>
    <cellStyle name="Entrée 6 2 4" xfId="4402" xr:uid="{00000000-0005-0000-0000-00006B110000}"/>
    <cellStyle name="Entrée 6 2 5" xfId="4403" xr:uid="{00000000-0005-0000-0000-00006C110000}"/>
    <cellStyle name="Entrée 6 3" xfId="4404" xr:uid="{00000000-0005-0000-0000-00006D110000}"/>
    <cellStyle name="Entrée 6 4" xfId="4405" xr:uid="{00000000-0005-0000-0000-00006E110000}"/>
    <cellStyle name="Entrée 6 5" xfId="4406" xr:uid="{00000000-0005-0000-0000-00006F110000}"/>
    <cellStyle name="Entrée 6 6" xfId="4407" xr:uid="{00000000-0005-0000-0000-000070110000}"/>
    <cellStyle name="Entrée 7" xfId="4408" xr:uid="{00000000-0005-0000-0000-000071110000}"/>
    <cellStyle name="Entrée 7 2" xfId="4409" xr:uid="{00000000-0005-0000-0000-000072110000}"/>
    <cellStyle name="Entrée 7 2 2" xfId="4410" xr:uid="{00000000-0005-0000-0000-000073110000}"/>
    <cellStyle name="Entrée 7 2 3" xfId="4411" xr:uid="{00000000-0005-0000-0000-000074110000}"/>
    <cellStyle name="Entrée 7 2 4" xfId="4412" xr:uid="{00000000-0005-0000-0000-000075110000}"/>
    <cellStyle name="Entrée 7 2 5" xfId="4413" xr:uid="{00000000-0005-0000-0000-000076110000}"/>
    <cellStyle name="Entrée 7 3" xfId="4414" xr:uid="{00000000-0005-0000-0000-000077110000}"/>
    <cellStyle name="Entrée 7 4" xfId="4415" xr:uid="{00000000-0005-0000-0000-000078110000}"/>
    <cellStyle name="Entrée 7 5" xfId="4416" xr:uid="{00000000-0005-0000-0000-000079110000}"/>
    <cellStyle name="Entrée 7 6" xfId="4417" xr:uid="{00000000-0005-0000-0000-00007A110000}"/>
    <cellStyle name="Entrée 8" xfId="4418" xr:uid="{00000000-0005-0000-0000-00007B110000}"/>
    <cellStyle name="Entrée 8 2" xfId="4419" xr:uid="{00000000-0005-0000-0000-00007C110000}"/>
    <cellStyle name="Entrée 8 2 2" xfId="4420" xr:uid="{00000000-0005-0000-0000-00007D110000}"/>
    <cellStyle name="Entrée 8 2 3" xfId="4421" xr:uid="{00000000-0005-0000-0000-00007E110000}"/>
    <cellStyle name="Entrée 8 2 4" xfId="4422" xr:uid="{00000000-0005-0000-0000-00007F110000}"/>
    <cellStyle name="Entrée 8 2 5" xfId="4423" xr:uid="{00000000-0005-0000-0000-000080110000}"/>
    <cellStyle name="Entrée 8 3" xfId="4424" xr:uid="{00000000-0005-0000-0000-000081110000}"/>
    <cellStyle name="Entrée 8 4" xfId="4425" xr:uid="{00000000-0005-0000-0000-000082110000}"/>
    <cellStyle name="Entrée 8 5" xfId="4426" xr:uid="{00000000-0005-0000-0000-000083110000}"/>
    <cellStyle name="Entrée 8 6" xfId="4427" xr:uid="{00000000-0005-0000-0000-000084110000}"/>
    <cellStyle name="Entrée 9" xfId="4428" xr:uid="{00000000-0005-0000-0000-000085110000}"/>
    <cellStyle name="Entrée 9 2" xfId="4429" xr:uid="{00000000-0005-0000-0000-000086110000}"/>
    <cellStyle name="Entrée 9 2 2" xfId="4430" xr:uid="{00000000-0005-0000-0000-000087110000}"/>
    <cellStyle name="Entrée 9 2 3" xfId="4431" xr:uid="{00000000-0005-0000-0000-000088110000}"/>
    <cellStyle name="Entrée 9 2 4" xfId="4432" xr:uid="{00000000-0005-0000-0000-000089110000}"/>
    <cellStyle name="Entrée 9 2 5" xfId="4433" xr:uid="{00000000-0005-0000-0000-00008A110000}"/>
    <cellStyle name="Entrée 9 3" xfId="4434" xr:uid="{00000000-0005-0000-0000-00008B110000}"/>
    <cellStyle name="Entrée 9 4" xfId="4435" xr:uid="{00000000-0005-0000-0000-00008C110000}"/>
    <cellStyle name="Entrée 9 5" xfId="4436" xr:uid="{00000000-0005-0000-0000-00008D110000}"/>
    <cellStyle name="Entrée 9 6" xfId="4437" xr:uid="{00000000-0005-0000-0000-00008E110000}"/>
    <cellStyle name="Ergebnis" xfId="4438" xr:uid="{00000000-0005-0000-0000-00008F110000}"/>
    <cellStyle name="Ergebnis 2" xfId="4439" xr:uid="{00000000-0005-0000-0000-000090110000}"/>
    <cellStyle name="Ergebnis 3" xfId="4440" xr:uid="{00000000-0005-0000-0000-000091110000}"/>
    <cellStyle name="Erklärender Text" xfId="4441" xr:uid="{00000000-0005-0000-0000-000092110000}"/>
    <cellStyle name="Euro" xfId="4442" xr:uid="{00000000-0005-0000-0000-000093110000}"/>
    <cellStyle name="Euro 1" xfId="4443" xr:uid="{00000000-0005-0000-0000-000094110000}"/>
    <cellStyle name="Euro 10" xfId="4444" xr:uid="{00000000-0005-0000-0000-000095110000}"/>
    <cellStyle name="Euro 10 2" xfId="14807" xr:uid="{00000000-0005-0000-0000-000096110000}"/>
    <cellStyle name="Euro 2" xfId="4445" xr:uid="{00000000-0005-0000-0000-000097110000}"/>
    <cellStyle name="Euro 2 2" xfId="4446" xr:uid="{00000000-0005-0000-0000-000098110000}"/>
    <cellStyle name="Euro 2 2 2" xfId="4447" xr:uid="{00000000-0005-0000-0000-000099110000}"/>
    <cellStyle name="Euro 2 2 2 2" xfId="4448" xr:uid="{00000000-0005-0000-0000-00009A110000}"/>
    <cellStyle name="Euro 2 2 2 3" xfId="4449" xr:uid="{00000000-0005-0000-0000-00009B110000}"/>
    <cellStyle name="Euro 2 3" xfId="4450" xr:uid="{00000000-0005-0000-0000-00009C110000}"/>
    <cellStyle name="Euro 2 3 2" xfId="4451" xr:uid="{00000000-0005-0000-0000-00009D110000}"/>
    <cellStyle name="Euro 2 3 3" xfId="4452" xr:uid="{00000000-0005-0000-0000-00009E110000}"/>
    <cellStyle name="Euro 3" xfId="4453" xr:uid="{00000000-0005-0000-0000-00009F110000}"/>
    <cellStyle name="Euro 3 2" xfId="4454" xr:uid="{00000000-0005-0000-0000-0000A0110000}"/>
    <cellStyle name="Euro 3 3" xfId="4455" xr:uid="{00000000-0005-0000-0000-0000A1110000}"/>
    <cellStyle name="Euro 4" xfId="4456" xr:uid="{00000000-0005-0000-0000-0000A2110000}"/>
    <cellStyle name="Euro 4 2" xfId="4457" xr:uid="{00000000-0005-0000-0000-0000A3110000}"/>
    <cellStyle name="Euro 4 2 2" xfId="4458" xr:uid="{00000000-0005-0000-0000-0000A4110000}"/>
    <cellStyle name="Euro 4 2 3" xfId="4459" xr:uid="{00000000-0005-0000-0000-0000A5110000}"/>
    <cellStyle name="Euro 4 2 4" xfId="4460" xr:uid="{00000000-0005-0000-0000-0000A6110000}"/>
    <cellStyle name="Euro 4 3" xfId="4461" xr:uid="{00000000-0005-0000-0000-0000A7110000}"/>
    <cellStyle name="Euro 4 3 2" xfId="4462" xr:uid="{00000000-0005-0000-0000-0000A8110000}"/>
    <cellStyle name="Euro 5" xfId="4463" xr:uid="{00000000-0005-0000-0000-0000A9110000}"/>
    <cellStyle name="Euro 5 2" xfId="4464" xr:uid="{00000000-0005-0000-0000-0000AA110000}"/>
    <cellStyle name="Euro 5 2 2" xfId="4465" xr:uid="{00000000-0005-0000-0000-0000AB110000}"/>
    <cellStyle name="Euro 5 2 3" xfId="4466" xr:uid="{00000000-0005-0000-0000-0000AC110000}"/>
    <cellStyle name="Euro 5 2 4" xfId="4467" xr:uid="{00000000-0005-0000-0000-0000AD110000}"/>
    <cellStyle name="Euro 6" xfId="4468" xr:uid="{00000000-0005-0000-0000-0000AE110000}"/>
    <cellStyle name="Euro 6 2" xfId="4469" xr:uid="{00000000-0005-0000-0000-0000AF110000}"/>
    <cellStyle name="Euro 6 2 2" xfId="4470" xr:uid="{00000000-0005-0000-0000-0000B0110000}"/>
    <cellStyle name="Euro 6 2 3" xfId="4471" xr:uid="{00000000-0005-0000-0000-0000B1110000}"/>
    <cellStyle name="Euro 6 2 4" xfId="4472" xr:uid="{00000000-0005-0000-0000-0000B2110000}"/>
    <cellStyle name="Euro 6 3" xfId="4473" xr:uid="{00000000-0005-0000-0000-0000B3110000}"/>
    <cellStyle name="Euro 7" xfId="4474" xr:uid="{00000000-0005-0000-0000-0000B4110000}"/>
    <cellStyle name="Euro 7 2" xfId="4475" xr:uid="{00000000-0005-0000-0000-0000B5110000}"/>
    <cellStyle name="Euro 8" xfId="4476" xr:uid="{00000000-0005-0000-0000-0000B6110000}"/>
    <cellStyle name="Euro 8 2" xfId="4477" xr:uid="{00000000-0005-0000-0000-0000B7110000}"/>
    <cellStyle name="Euro 8 3" xfId="4478" xr:uid="{00000000-0005-0000-0000-0000B8110000}"/>
    <cellStyle name="Euro 8 4" xfId="4479" xr:uid="{00000000-0005-0000-0000-0000B9110000}"/>
    <cellStyle name="Euro 9" xfId="4480" xr:uid="{00000000-0005-0000-0000-0000BA110000}"/>
    <cellStyle name="Euro 9 2" xfId="4481" xr:uid="{00000000-0005-0000-0000-0000BB110000}"/>
    <cellStyle name="Euro_0705XX_RETP_2007_DM1_BOP_v3" xfId="4482" xr:uid="{00000000-0005-0000-0000-0000BC110000}"/>
    <cellStyle name="EVAL" xfId="4483" xr:uid="{00000000-0005-0000-0000-0000BD110000}"/>
    <cellStyle name="Excel Built-in Normal" xfId="4484" xr:uid="{00000000-0005-0000-0000-0000BE110000}"/>
    <cellStyle name="Excel.Chart" xfId="4485" xr:uid="{00000000-0005-0000-0000-0000BF110000}"/>
    <cellStyle name="Exception" xfId="4486" xr:uid="{00000000-0005-0000-0000-0000C0110000}"/>
    <cellStyle name="Exception 2" xfId="4487" xr:uid="{00000000-0005-0000-0000-0000C1110000}"/>
    <cellStyle name="Exception 3" xfId="4488" xr:uid="{00000000-0005-0000-0000-0000C2110000}"/>
    <cellStyle name="Exchange_rate" xfId="4489" xr:uid="{00000000-0005-0000-0000-0000C3110000}"/>
    <cellStyle name="Explanatory Text" xfId="14666" xr:uid="{00000000-0005-0000-0000-0000C4110000}"/>
    <cellStyle name="Explanatory Text 2" xfId="4490" xr:uid="{00000000-0005-0000-0000-0000C5110000}"/>
    <cellStyle name="External Links" xfId="4491" xr:uid="{00000000-0005-0000-0000-0000C6110000}"/>
    <cellStyle name="External Links 2" xfId="4492" xr:uid="{00000000-0005-0000-0000-0000C7110000}"/>
    <cellStyle name="External Links 3" xfId="4493" xr:uid="{00000000-0005-0000-0000-0000C8110000}"/>
    <cellStyle name="Extra Large" xfId="4494" xr:uid="{00000000-0005-0000-0000-0000C9110000}"/>
    <cellStyle name="EY House" xfId="4495" xr:uid="{00000000-0005-0000-0000-0000CA110000}"/>
    <cellStyle name="EY%colcalc" xfId="4496" xr:uid="{00000000-0005-0000-0000-0000CB110000}"/>
    <cellStyle name="EY%input" xfId="4497" xr:uid="{00000000-0005-0000-0000-0000CC110000}"/>
    <cellStyle name="EY%rowcalc" xfId="4498" xr:uid="{00000000-0005-0000-0000-0000CD110000}"/>
    <cellStyle name="EY0dp" xfId="4499" xr:uid="{00000000-0005-0000-0000-0000CE110000}"/>
    <cellStyle name="EY1dp" xfId="4500" xr:uid="{00000000-0005-0000-0000-0000CF110000}"/>
    <cellStyle name="EY2dp" xfId="4501" xr:uid="{00000000-0005-0000-0000-0000D0110000}"/>
    <cellStyle name="EY3dp" xfId="4502" xr:uid="{00000000-0005-0000-0000-0000D1110000}"/>
    <cellStyle name="EYColumnHeading" xfId="4503" xr:uid="{00000000-0005-0000-0000-0000D2110000}"/>
    <cellStyle name="EYHeading1" xfId="4504" xr:uid="{00000000-0005-0000-0000-0000D3110000}"/>
    <cellStyle name="EYheading2" xfId="4505" xr:uid="{00000000-0005-0000-0000-0000D4110000}"/>
    <cellStyle name="EYheading3" xfId="4506" xr:uid="{00000000-0005-0000-0000-0000D5110000}"/>
    <cellStyle name="EYnumber" xfId="4507" xr:uid="{00000000-0005-0000-0000-0000D6110000}"/>
    <cellStyle name="EYSheetHeader1" xfId="4508" xr:uid="{00000000-0005-0000-0000-0000D7110000}"/>
    <cellStyle name="EYtext" xfId="4509" xr:uid="{00000000-0005-0000-0000-0000D8110000}"/>
    <cellStyle name="Factor" xfId="4510" xr:uid="{00000000-0005-0000-0000-0000D9110000}"/>
    <cellStyle name="Factor 2" xfId="4511" xr:uid="{00000000-0005-0000-0000-0000DA110000}"/>
    <cellStyle name="Factor 3" xfId="4512" xr:uid="{00000000-0005-0000-0000-0000DB110000}"/>
    <cellStyle name="Feed Label" xfId="4519" xr:uid="{00000000-0005-0000-0000-0000E2110000}"/>
    <cellStyle name="Feeder Field" xfId="4520" xr:uid="{00000000-0005-0000-0000-0000E3110000}"/>
    <cellStyle name="Feeder Field 2" xfId="4521" xr:uid="{00000000-0005-0000-0000-0000E4110000}"/>
    <cellStyle name="Feeder Field 2 2" xfId="4522" xr:uid="{00000000-0005-0000-0000-0000E5110000}"/>
    <cellStyle name="Feeder Field 2 3" xfId="4523" xr:uid="{00000000-0005-0000-0000-0000E6110000}"/>
    <cellStyle name="Feeder Field 3" xfId="4524" xr:uid="{00000000-0005-0000-0000-0000E7110000}"/>
    <cellStyle name="Feeder Field 4" xfId="4525" xr:uid="{00000000-0005-0000-0000-0000E8110000}"/>
    <cellStyle name="Feeder Field 5" xfId="4526" xr:uid="{00000000-0005-0000-0000-0000E9110000}"/>
    <cellStyle name="Feeder Field 6" xfId="4527" xr:uid="{00000000-0005-0000-0000-0000EA110000}"/>
    <cellStyle name="Figyelmeztetés 2" xfId="4528" xr:uid="{00000000-0005-0000-0000-0000EB110000}"/>
    <cellStyle name="Financier0" xfId="4529" xr:uid="{00000000-0005-0000-0000-0000EC110000}"/>
    <cellStyle name="Fine" xfId="4530" xr:uid="{00000000-0005-0000-0000-0000ED110000}"/>
    <cellStyle name="Fixed3 - Style3" xfId="4531" xr:uid="{00000000-0005-0000-0000-0000EE110000}"/>
    <cellStyle name="Flag" xfId="4532" xr:uid="{00000000-0005-0000-0000-0000EF110000}"/>
    <cellStyle name="Footnote" xfId="4533" xr:uid="{00000000-0005-0000-0000-0000F0110000}"/>
    <cellStyle name="Forklarende tekst" xfId="4535" xr:uid="{00000000-0005-0000-0000-0000F2110000}"/>
    <cellStyle name="Formule Interne" xfId="4536" xr:uid="{00000000-0005-0000-0000-0000F3110000}"/>
    <cellStyle name="Francs" xfId="4537" xr:uid="{00000000-0005-0000-0000-0000F4110000}"/>
    <cellStyle name="Francs 2" xfId="4538" xr:uid="{00000000-0005-0000-0000-0000F5110000}"/>
    <cellStyle name="Francs 3" xfId="4539" xr:uid="{00000000-0005-0000-0000-0000F6110000}"/>
    <cellStyle name="From" xfId="4540" xr:uid="{00000000-0005-0000-0000-0000F7110000}"/>
    <cellStyle name="FS_reporting" xfId="4541" xr:uid="{00000000-0005-0000-0000-0000F8110000}"/>
    <cellStyle name="Färg1" xfId="4513" xr:uid="{00000000-0005-0000-0000-0000DC110000}"/>
    <cellStyle name="Färg2" xfId="4514" xr:uid="{00000000-0005-0000-0000-0000DD110000}"/>
    <cellStyle name="Färg3" xfId="4515" xr:uid="{00000000-0005-0000-0000-0000DE110000}"/>
    <cellStyle name="Färg4" xfId="4516" xr:uid="{00000000-0005-0000-0000-0000DF110000}"/>
    <cellStyle name="Färg5" xfId="4517" xr:uid="{00000000-0005-0000-0000-0000E0110000}"/>
    <cellStyle name="Färg6" xfId="4518" xr:uid="{00000000-0005-0000-0000-0000E1110000}"/>
    <cellStyle name="Förklarande text" xfId="4534" xr:uid="{00000000-0005-0000-0000-0000F1110000}"/>
    <cellStyle name="Gap" xfId="4542" xr:uid="{00000000-0005-0000-0000-0000F9110000}"/>
    <cellStyle name="Gap 2" xfId="4543" xr:uid="{00000000-0005-0000-0000-0000FA110000}"/>
    <cellStyle name="Gap 3" xfId="4544" xr:uid="{00000000-0005-0000-0000-0000FB110000}"/>
    <cellStyle name="Geras" xfId="4545" xr:uid="{00000000-0005-0000-0000-0000FC110000}"/>
    <cellStyle name="God" xfId="4546" xr:uid="{00000000-0005-0000-0000-0000FD110000}"/>
    <cellStyle name="Good" xfId="14661" xr:uid="{00000000-0005-0000-0000-0000FE110000}"/>
    <cellStyle name="Good 2" xfId="4547" xr:uid="{00000000-0005-0000-0000-0000FF110000}"/>
    <cellStyle name="Grey" xfId="4548" xr:uid="{00000000-0005-0000-0000-000000120000}"/>
    <cellStyle name="Greyed out" xfId="4549" xr:uid="{00000000-0005-0000-0000-000001120000}"/>
    <cellStyle name="Gut" xfId="4550" xr:uid="{00000000-0005-0000-0000-000002120000}"/>
    <cellStyle name="Halb" xfId="4551" xr:uid="{00000000-0005-0000-0000-000003120000}"/>
    <cellStyle name="Halb 2" xfId="4552" xr:uid="{00000000-0005-0000-0000-000004120000}"/>
    <cellStyle name="Halb 3" xfId="4553" xr:uid="{00000000-0005-0000-0000-000005120000}"/>
    <cellStyle name="hard no" xfId="4554" xr:uid="{00000000-0005-0000-0000-000006120000}"/>
    <cellStyle name="Hard Percent" xfId="4555" xr:uid="{00000000-0005-0000-0000-000007120000}"/>
    <cellStyle name="hardno" xfId="4556" xr:uid="{00000000-0005-0000-0000-000008120000}"/>
    <cellStyle name="Hea" xfId="4557" xr:uid="{00000000-0005-0000-0000-000009120000}"/>
    <cellStyle name="Hea 2" xfId="4558" xr:uid="{00000000-0005-0000-0000-00000A120000}"/>
    <cellStyle name="Hea 3" xfId="4559" xr:uid="{00000000-0005-0000-0000-00000B120000}"/>
    <cellStyle name="Header" xfId="4560" xr:uid="{00000000-0005-0000-0000-00000C120000}"/>
    <cellStyle name="Header 1" xfId="4561" xr:uid="{00000000-0005-0000-0000-00000D120000}"/>
    <cellStyle name="Header 2" xfId="4562" xr:uid="{00000000-0005-0000-0000-00000E120000}"/>
    <cellStyle name="Header_ATC Services 6+6 Forecast - 051008" xfId="4563" xr:uid="{00000000-0005-0000-0000-00000F120000}"/>
    <cellStyle name="headerStyle" xfId="4564" xr:uid="{00000000-0005-0000-0000-000010120000}"/>
    <cellStyle name="Heading" xfId="4565" xr:uid="{00000000-0005-0000-0000-000011120000}"/>
    <cellStyle name="Heading 1" xfId="14657" xr:uid="{00000000-0005-0000-0000-000012120000}"/>
    <cellStyle name="Heading 1 2" xfId="4566" xr:uid="{00000000-0005-0000-0000-000013120000}"/>
    <cellStyle name="Heading 1 2 2" xfId="4567" xr:uid="{00000000-0005-0000-0000-000014120000}"/>
    <cellStyle name="Heading 1 2 3" xfId="4568" xr:uid="{00000000-0005-0000-0000-000015120000}"/>
    <cellStyle name="Heading 1_KTR An-Abflug" xfId="4569" xr:uid="{00000000-0005-0000-0000-000016120000}"/>
    <cellStyle name="Heading 2" xfId="14658" xr:uid="{00000000-0005-0000-0000-000017120000}"/>
    <cellStyle name="Heading 2 2" xfId="4570" xr:uid="{00000000-0005-0000-0000-000018120000}"/>
    <cellStyle name="Heading 2 2 2" xfId="4571" xr:uid="{00000000-0005-0000-0000-000019120000}"/>
    <cellStyle name="Heading 2 2 3" xfId="4572" xr:uid="{00000000-0005-0000-0000-00001A120000}"/>
    <cellStyle name="Heading 2_KTR An-Abflug" xfId="4573" xr:uid="{00000000-0005-0000-0000-00001B120000}"/>
    <cellStyle name="Heading 3" xfId="14659" xr:uid="{00000000-0005-0000-0000-00001C120000}"/>
    <cellStyle name="Heading 3 2" xfId="4574" xr:uid="{00000000-0005-0000-0000-00001D120000}"/>
    <cellStyle name="Heading 3_KTR An-Abflug" xfId="4575" xr:uid="{00000000-0005-0000-0000-00001E120000}"/>
    <cellStyle name="Heading 4" xfId="14660" xr:uid="{00000000-0005-0000-0000-00001F120000}"/>
    <cellStyle name="Heading 4 2" xfId="4576" xr:uid="{00000000-0005-0000-0000-000020120000}"/>
    <cellStyle name="Heading 4 2 2" xfId="4577" xr:uid="{00000000-0005-0000-0000-000021120000}"/>
    <cellStyle name="Heading 4 2 3" xfId="4578" xr:uid="{00000000-0005-0000-0000-000022120000}"/>
    <cellStyle name="Heading 4 2 4" xfId="4579" xr:uid="{00000000-0005-0000-0000-000023120000}"/>
    <cellStyle name="Heading2" xfId="4580" xr:uid="{00000000-0005-0000-0000-000024120000}"/>
    <cellStyle name="Heading3" xfId="4581" xr:uid="{00000000-0005-0000-0000-000025120000}"/>
    <cellStyle name="Headings" xfId="4582" xr:uid="{00000000-0005-0000-0000-000026120000}"/>
    <cellStyle name="HELV8BLUE" xfId="4583" xr:uid="{00000000-0005-0000-0000-000027120000}"/>
    <cellStyle name="Hidden" xfId="4584" xr:uid="{00000000-0005-0000-0000-000028120000}"/>
    <cellStyle name="Hivatkozott cella 2" xfId="4585" xr:uid="{00000000-0005-0000-0000-000029120000}"/>
    <cellStyle name="Hoiatustekst" xfId="4586" xr:uid="{00000000-0005-0000-0000-00002A120000}"/>
    <cellStyle name="Hoiatustekst 2" xfId="4587" xr:uid="{00000000-0005-0000-0000-00002B120000}"/>
    <cellStyle name="Hoiatustekst 3" xfId="4588" xr:uid="{00000000-0005-0000-0000-00002C120000}"/>
    <cellStyle name="HP" xfId="4589" xr:uid="{00000000-0005-0000-0000-00002D120000}"/>
    <cellStyle name="Huomautus" xfId="4590" xr:uid="{00000000-0005-0000-0000-00002E120000}"/>
    <cellStyle name="Huomautus 10" xfId="4591" xr:uid="{00000000-0005-0000-0000-00002F120000}"/>
    <cellStyle name="Huomautus 10 2" xfId="4592" xr:uid="{00000000-0005-0000-0000-000030120000}"/>
    <cellStyle name="Huomautus 10 2 2" xfId="4593" xr:uid="{00000000-0005-0000-0000-000031120000}"/>
    <cellStyle name="Huomautus 10 2 3" xfId="4594" xr:uid="{00000000-0005-0000-0000-000032120000}"/>
    <cellStyle name="Huomautus 10 2 4" xfId="4595" xr:uid="{00000000-0005-0000-0000-000033120000}"/>
    <cellStyle name="Huomautus 10 2 5" xfId="4596" xr:uid="{00000000-0005-0000-0000-000034120000}"/>
    <cellStyle name="Huomautus 10 3" xfId="4597" xr:uid="{00000000-0005-0000-0000-000035120000}"/>
    <cellStyle name="Huomautus 10 4" xfId="4598" xr:uid="{00000000-0005-0000-0000-000036120000}"/>
    <cellStyle name="Huomautus 10 5" xfId="4599" xr:uid="{00000000-0005-0000-0000-000037120000}"/>
    <cellStyle name="Huomautus 10 6" xfId="4600" xr:uid="{00000000-0005-0000-0000-000038120000}"/>
    <cellStyle name="Huomautus 11" xfId="4601" xr:uid="{00000000-0005-0000-0000-000039120000}"/>
    <cellStyle name="Huomautus 11 2" xfId="4602" xr:uid="{00000000-0005-0000-0000-00003A120000}"/>
    <cellStyle name="Huomautus 11 2 2" xfId="4603" xr:uid="{00000000-0005-0000-0000-00003B120000}"/>
    <cellStyle name="Huomautus 11 2 3" xfId="4604" xr:uid="{00000000-0005-0000-0000-00003C120000}"/>
    <cellStyle name="Huomautus 11 2 4" xfId="4605" xr:uid="{00000000-0005-0000-0000-00003D120000}"/>
    <cellStyle name="Huomautus 11 2 5" xfId="4606" xr:uid="{00000000-0005-0000-0000-00003E120000}"/>
    <cellStyle name="Huomautus 11 3" xfId="4607" xr:uid="{00000000-0005-0000-0000-00003F120000}"/>
    <cellStyle name="Huomautus 11 4" xfId="4608" xr:uid="{00000000-0005-0000-0000-000040120000}"/>
    <cellStyle name="Huomautus 11 5" xfId="4609" xr:uid="{00000000-0005-0000-0000-000041120000}"/>
    <cellStyle name="Huomautus 11 6" xfId="4610" xr:uid="{00000000-0005-0000-0000-000042120000}"/>
    <cellStyle name="Huomautus 12" xfId="4611" xr:uid="{00000000-0005-0000-0000-000043120000}"/>
    <cellStyle name="Huomautus 12 2" xfId="4612" xr:uid="{00000000-0005-0000-0000-000044120000}"/>
    <cellStyle name="Huomautus 12 2 2" xfId="4613" xr:uid="{00000000-0005-0000-0000-000045120000}"/>
    <cellStyle name="Huomautus 12 2 3" xfId="4614" xr:uid="{00000000-0005-0000-0000-000046120000}"/>
    <cellStyle name="Huomautus 12 2 4" xfId="4615" xr:uid="{00000000-0005-0000-0000-000047120000}"/>
    <cellStyle name="Huomautus 12 2 5" xfId="4616" xr:uid="{00000000-0005-0000-0000-000048120000}"/>
    <cellStyle name="Huomautus 12 3" xfId="4617" xr:uid="{00000000-0005-0000-0000-000049120000}"/>
    <cellStyle name="Huomautus 12 4" xfId="4618" xr:uid="{00000000-0005-0000-0000-00004A120000}"/>
    <cellStyle name="Huomautus 12 5" xfId="4619" xr:uid="{00000000-0005-0000-0000-00004B120000}"/>
    <cellStyle name="Huomautus 12 6" xfId="4620" xr:uid="{00000000-0005-0000-0000-00004C120000}"/>
    <cellStyle name="Huomautus 13" xfId="4621" xr:uid="{00000000-0005-0000-0000-00004D120000}"/>
    <cellStyle name="Huomautus 13 2" xfId="4622" xr:uid="{00000000-0005-0000-0000-00004E120000}"/>
    <cellStyle name="Huomautus 13 2 2" xfId="4623" xr:uid="{00000000-0005-0000-0000-00004F120000}"/>
    <cellStyle name="Huomautus 13 2 3" xfId="4624" xr:uid="{00000000-0005-0000-0000-000050120000}"/>
    <cellStyle name="Huomautus 13 2 4" xfId="4625" xr:uid="{00000000-0005-0000-0000-000051120000}"/>
    <cellStyle name="Huomautus 13 2 5" xfId="4626" xr:uid="{00000000-0005-0000-0000-000052120000}"/>
    <cellStyle name="Huomautus 13 3" xfId="4627" xr:uid="{00000000-0005-0000-0000-000053120000}"/>
    <cellStyle name="Huomautus 13 4" xfId="4628" xr:uid="{00000000-0005-0000-0000-000054120000}"/>
    <cellStyle name="Huomautus 13 5" xfId="4629" xr:uid="{00000000-0005-0000-0000-000055120000}"/>
    <cellStyle name="Huomautus 13 6" xfId="4630" xr:uid="{00000000-0005-0000-0000-000056120000}"/>
    <cellStyle name="Huomautus 14" xfId="4631" xr:uid="{00000000-0005-0000-0000-000057120000}"/>
    <cellStyle name="Huomautus 14 2" xfId="4632" xr:uid="{00000000-0005-0000-0000-000058120000}"/>
    <cellStyle name="Huomautus 14 2 2" xfId="4633" xr:uid="{00000000-0005-0000-0000-000059120000}"/>
    <cellStyle name="Huomautus 14 2 3" xfId="4634" xr:uid="{00000000-0005-0000-0000-00005A120000}"/>
    <cellStyle name="Huomautus 14 2 4" xfId="4635" xr:uid="{00000000-0005-0000-0000-00005B120000}"/>
    <cellStyle name="Huomautus 14 2 5" xfId="4636" xr:uid="{00000000-0005-0000-0000-00005C120000}"/>
    <cellStyle name="Huomautus 14 3" xfId="4637" xr:uid="{00000000-0005-0000-0000-00005D120000}"/>
    <cellStyle name="Huomautus 14 4" xfId="4638" xr:uid="{00000000-0005-0000-0000-00005E120000}"/>
    <cellStyle name="Huomautus 14 5" xfId="4639" xr:uid="{00000000-0005-0000-0000-00005F120000}"/>
    <cellStyle name="Huomautus 14 6" xfId="4640" xr:uid="{00000000-0005-0000-0000-000060120000}"/>
    <cellStyle name="Huomautus 15" xfId="4641" xr:uid="{00000000-0005-0000-0000-000061120000}"/>
    <cellStyle name="Huomautus 15 2" xfId="4642" xr:uid="{00000000-0005-0000-0000-000062120000}"/>
    <cellStyle name="Huomautus 15 2 2" xfId="4643" xr:uid="{00000000-0005-0000-0000-000063120000}"/>
    <cellStyle name="Huomautus 15 2 3" xfId="4644" xr:uid="{00000000-0005-0000-0000-000064120000}"/>
    <cellStyle name="Huomautus 15 2 4" xfId="4645" xr:uid="{00000000-0005-0000-0000-000065120000}"/>
    <cellStyle name="Huomautus 15 2 5" xfId="4646" xr:uid="{00000000-0005-0000-0000-000066120000}"/>
    <cellStyle name="Huomautus 15 3" xfId="4647" xr:uid="{00000000-0005-0000-0000-000067120000}"/>
    <cellStyle name="Huomautus 15 4" xfId="4648" xr:uid="{00000000-0005-0000-0000-000068120000}"/>
    <cellStyle name="Huomautus 15 5" xfId="4649" xr:uid="{00000000-0005-0000-0000-000069120000}"/>
    <cellStyle name="Huomautus 15 6" xfId="4650" xr:uid="{00000000-0005-0000-0000-00006A120000}"/>
    <cellStyle name="Huomautus 16" xfId="4651" xr:uid="{00000000-0005-0000-0000-00006B120000}"/>
    <cellStyle name="Huomautus 16 2" xfId="4652" xr:uid="{00000000-0005-0000-0000-00006C120000}"/>
    <cellStyle name="Huomautus 16 2 2" xfId="4653" xr:uid="{00000000-0005-0000-0000-00006D120000}"/>
    <cellStyle name="Huomautus 16 2 3" xfId="4654" xr:uid="{00000000-0005-0000-0000-00006E120000}"/>
    <cellStyle name="Huomautus 16 2 4" xfId="4655" xr:uid="{00000000-0005-0000-0000-00006F120000}"/>
    <cellStyle name="Huomautus 16 2 5" xfId="4656" xr:uid="{00000000-0005-0000-0000-000070120000}"/>
    <cellStyle name="Huomautus 16 3" xfId="4657" xr:uid="{00000000-0005-0000-0000-000071120000}"/>
    <cellStyle name="Huomautus 16 4" xfId="4658" xr:uid="{00000000-0005-0000-0000-000072120000}"/>
    <cellStyle name="Huomautus 16 5" xfId="4659" xr:uid="{00000000-0005-0000-0000-000073120000}"/>
    <cellStyle name="Huomautus 16 6" xfId="4660" xr:uid="{00000000-0005-0000-0000-000074120000}"/>
    <cellStyle name="Huomautus 17" xfId="4661" xr:uid="{00000000-0005-0000-0000-000075120000}"/>
    <cellStyle name="Huomautus 17 2" xfId="4662" xr:uid="{00000000-0005-0000-0000-000076120000}"/>
    <cellStyle name="Huomautus 17 2 2" xfId="4663" xr:uid="{00000000-0005-0000-0000-000077120000}"/>
    <cellStyle name="Huomautus 17 2 3" xfId="4664" xr:uid="{00000000-0005-0000-0000-000078120000}"/>
    <cellStyle name="Huomautus 17 2 4" xfId="4665" xr:uid="{00000000-0005-0000-0000-000079120000}"/>
    <cellStyle name="Huomautus 17 2 5" xfId="4666" xr:uid="{00000000-0005-0000-0000-00007A120000}"/>
    <cellStyle name="Huomautus 17 3" xfId="4667" xr:uid="{00000000-0005-0000-0000-00007B120000}"/>
    <cellStyle name="Huomautus 17 4" xfId="4668" xr:uid="{00000000-0005-0000-0000-00007C120000}"/>
    <cellStyle name="Huomautus 17 5" xfId="4669" xr:uid="{00000000-0005-0000-0000-00007D120000}"/>
    <cellStyle name="Huomautus 17 6" xfId="4670" xr:uid="{00000000-0005-0000-0000-00007E120000}"/>
    <cellStyle name="Huomautus 18" xfId="4671" xr:uid="{00000000-0005-0000-0000-00007F120000}"/>
    <cellStyle name="Huomautus 18 2" xfId="4672" xr:uid="{00000000-0005-0000-0000-000080120000}"/>
    <cellStyle name="Huomautus 18 2 2" xfId="4673" xr:uid="{00000000-0005-0000-0000-000081120000}"/>
    <cellStyle name="Huomautus 18 2 3" xfId="4674" xr:uid="{00000000-0005-0000-0000-000082120000}"/>
    <cellStyle name="Huomautus 18 2 4" xfId="4675" xr:uid="{00000000-0005-0000-0000-000083120000}"/>
    <cellStyle name="Huomautus 18 2 5" xfId="4676" xr:uid="{00000000-0005-0000-0000-000084120000}"/>
    <cellStyle name="Huomautus 18 3" xfId="4677" xr:uid="{00000000-0005-0000-0000-000085120000}"/>
    <cellStyle name="Huomautus 18 4" xfId="4678" xr:uid="{00000000-0005-0000-0000-000086120000}"/>
    <cellStyle name="Huomautus 18 5" xfId="4679" xr:uid="{00000000-0005-0000-0000-000087120000}"/>
    <cellStyle name="Huomautus 18 6" xfId="4680" xr:uid="{00000000-0005-0000-0000-000088120000}"/>
    <cellStyle name="Huomautus 19" xfId="4681" xr:uid="{00000000-0005-0000-0000-000089120000}"/>
    <cellStyle name="Huomautus 19 2" xfId="4682" xr:uid="{00000000-0005-0000-0000-00008A120000}"/>
    <cellStyle name="Huomautus 19 3" xfId="4683" xr:uid="{00000000-0005-0000-0000-00008B120000}"/>
    <cellStyle name="Huomautus 19 4" xfId="4684" xr:uid="{00000000-0005-0000-0000-00008C120000}"/>
    <cellStyle name="Huomautus 19 5" xfId="4685" xr:uid="{00000000-0005-0000-0000-00008D120000}"/>
    <cellStyle name="Huomautus 2" xfId="4686" xr:uid="{00000000-0005-0000-0000-00008E120000}"/>
    <cellStyle name="Huomautus 2 2" xfId="4687" xr:uid="{00000000-0005-0000-0000-00008F120000}"/>
    <cellStyle name="Huomautus 2 2 2" xfId="4688" xr:uid="{00000000-0005-0000-0000-000090120000}"/>
    <cellStyle name="Huomautus 2 2 3" xfId="4689" xr:uid="{00000000-0005-0000-0000-000091120000}"/>
    <cellStyle name="Huomautus 2 2 4" xfId="4690" xr:uid="{00000000-0005-0000-0000-000092120000}"/>
    <cellStyle name="Huomautus 2 2 5" xfId="4691" xr:uid="{00000000-0005-0000-0000-000093120000}"/>
    <cellStyle name="Huomautus 2 3" xfId="4692" xr:uid="{00000000-0005-0000-0000-000094120000}"/>
    <cellStyle name="Huomautus 2 4" xfId="4693" xr:uid="{00000000-0005-0000-0000-000095120000}"/>
    <cellStyle name="Huomautus 2 5" xfId="4694" xr:uid="{00000000-0005-0000-0000-000096120000}"/>
    <cellStyle name="Huomautus 2 6" xfId="4695" xr:uid="{00000000-0005-0000-0000-000097120000}"/>
    <cellStyle name="Huomautus 2_PGM_CHECK" xfId="14835" xr:uid="{00000000-0005-0000-0000-000098120000}"/>
    <cellStyle name="Huomautus 20" xfId="4696" xr:uid="{00000000-0005-0000-0000-000099120000}"/>
    <cellStyle name="Huomautus 21" xfId="4697" xr:uid="{00000000-0005-0000-0000-00009A120000}"/>
    <cellStyle name="Huomautus 22" xfId="4698" xr:uid="{00000000-0005-0000-0000-00009B120000}"/>
    <cellStyle name="Huomautus 23" xfId="4699" xr:uid="{00000000-0005-0000-0000-00009C120000}"/>
    <cellStyle name="Huomautus 3" xfId="4700" xr:uid="{00000000-0005-0000-0000-00009D120000}"/>
    <cellStyle name="Huomautus 3 2" xfId="4701" xr:uid="{00000000-0005-0000-0000-00009E120000}"/>
    <cellStyle name="Huomautus 3 2 2" xfId="4702" xr:uid="{00000000-0005-0000-0000-00009F120000}"/>
    <cellStyle name="Huomautus 3 2 3" xfId="4703" xr:uid="{00000000-0005-0000-0000-0000A0120000}"/>
    <cellStyle name="Huomautus 3 2 4" xfId="4704" xr:uid="{00000000-0005-0000-0000-0000A1120000}"/>
    <cellStyle name="Huomautus 3 2 5" xfId="4705" xr:uid="{00000000-0005-0000-0000-0000A2120000}"/>
    <cellStyle name="Huomautus 3 3" xfId="4706" xr:uid="{00000000-0005-0000-0000-0000A3120000}"/>
    <cellStyle name="Huomautus 3 4" xfId="4707" xr:uid="{00000000-0005-0000-0000-0000A4120000}"/>
    <cellStyle name="Huomautus 3 5" xfId="4708" xr:uid="{00000000-0005-0000-0000-0000A5120000}"/>
    <cellStyle name="Huomautus 3 6" xfId="4709" xr:uid="{00000000-0005-0000-0000-0000A6120000}"/>
    <cellStyle name="Huomautus 4" xfId="4710" xr:uid="{00000000-0005-0000-0000-0000A7120000}"/>
    <cellStyle name="Huomautus 4 2" xfId="4711" xr:uid="{00000000-0005-0000-0000-0000A8120000}"/>
    <cellStyle name="Huomautus 4 2 2" xfId="4712" xr:uid="{00000000-0005-0000-0000-0000A9120000}"/>
    <cellStyle name="Huomautus 4 2 3" xfId="4713" xr:uid="{00000000-0005-0000-0000-0000AA120000}"/>
    <cellStyle name="Huomautus 4 2 4" xfId="4714" xr:uid="{00000000-0005-0000-0000-0000AB120000}"/>
    <cellStyle name="Huomautus 4 2 5" xfId="4715" xr:uid="{00000000-0005-0000-0000-0000AC120000}"/>
    <cellStyle name="Huomautus 4 3" xfId="4716" xr:uid="{00000000-0005-0000-0000-0000AD120000}"/>
    <cellStyle name="Huomautus 4 4" xfId="4717" xr:uid="{00000000-0005-0000-0000-0000AE120000}"/>
    <cellStyle name="Huomautus 4 5" xfId="4718" xr:uid="{00000000-0005-0000-0000-0000AF120000}"/>
    <cellStyle name="Huomautus 4 6" xfId="4719" xr:uid="{00000000-0005-0000-0000-0000B0120000}"/>
    <cellStyle name="Huomautus 5" xfId="4720" xr:uid="{00000000-0005-0000-0000-0000B1120000}"/>
    <cellStyle name="Huomautus 5 2" xfId="4721" xr:uid="{00000000-0005-0000-0000-0000B2120000}"/>
    <cellStyle name="Huomautus 5 2 2" xfId="4722" xr:uid="{00000000-0005-0000-0000-0000B3120000}"/>
    <cellStyle name="Huomautus 5 2 3" xfId="4723" xr:uid="{00000000-0005-0000-0000-0000B4120000}"/>
    <cellStyle name="Huomautus 5 2 4" xfId="4724" xr:uid="{00000000-0005-0000-0000-0000B5120000}"/>
    <cellStyle name="Huomautus 5 2 5" xfId="4725" xr:uid="{00000000-0005-0000-0000-0000B6120000}"/>
    <cellStyle name="Huomautus 5 3" xfId="4726" xr:uid="{00000000-0005-0000-0000-0000B7120000}"/>
    <cellStyle name="Huomautus 5 4" xfId="4727" xr:uid="{00000000-0005-0000-0000-0000B8120000}"/>
    <cellStyle name="Huomautus 5 5" xfId="4728" xr:uid="{00000000-0005-0000-0000-0000B9120000}"/>
    <cellStyle name="Huomautus 5 6" xfId="4729" xr:uid="{00000000-0005-0000-0000-0000BA120000}"/>
    <cellStyle name="Huomautus 6" xfId="4730" xr:uid="{00000000-0005-0000-0000-0000BB120000}"/>
    <cellStyle name="Huomautus 6 2" xfId="4731" xr:uid="{00000000-0005-0000-0000-0000BC120000}"/>
    <cellStyle name="Huomautus 6 2 2" xfId="4732" xr:uid="{00000000-0005-0000-0000-0000BD120000}"/>
    <cellStyle name="Huomautus 6 2 3" xfId="4733" xr:uid="{00000000-0005-0000-0000-0000BE120000}"/>
    <cellStyle name="Huomautus 6 2 4" xfId="4734" xr:uid="{00000000-0005-0000-0000-0000BF120000}"/>
    <cellStyle name="Huomautus 6 2 5" xfId="4735" xr:uid="{00000000-0005-0000-0000-0000C0120000}"/>
    <cellStyle name="Huomautus 6 3" xfId="4736" xr:uid="{00000000-0005-0000-0000-0000C1120000}"/>
    <cellStyle name="Huomautus 6 4" xfId="4737" xr:uid="{00000000-0005-0000-0000-0000C2120000}"/>
    <cellStyle name="Huomautus 6 5" xfId="4738" xr:uid="{00000000-0005-0000-0000-0000C3120000}"/>
    <cellStyle name="Huomautus 6 6" xfId="4739" xr:uid="{00000000-0005-0000-0000-0000C4120000}"/>
    <cellStyle name="Huomautus 7" xfId="4740" xr:uid="{00000000-0005-0000-0000-0000C5120000}"/>
    <cellStyle name="Huomautus 7 2" xfId="4741" xr:uid="{00000000-0005-0000-0000-0000C6120000}"/>
    <cellStyle name="Huomautus 7 2 2" xfId="4742" xr:uid="{00000000-0005-0000-0000-0000C7120000}"/>
    <cellStyle name="Huomautus 7 2 3" xfId="4743" xr:uid="{00000000-0005-0000-0000-0000C8120000}"/>
    <cellStyle name="Huomautus 7 2 4" xfId="4744" xr:uid="{00000000-0005-0000-0000-0000C9120000}"/>
    <cellStyle name="Huomautus 7 2 5" xfId="4745" xr:uid="{00000000-0005-0000-0000-0000CA120000}"/>
    <cellStyle name="Huomautus 7 3" xfId="4746" xr:uid="{00000000-0005-0000-0000-0000CB120000}"/>
    <cellStyle name="Huomautus 7 4" xfId="4747" xr:uid="{00000000-0005-0000-0000-0000CC120000}"/>
    <cellStyle name="Huomautus 7 5" xfId="4748" xr:uid="{00000000-0005-0000-0000-0000CD120000}"/>
    <cellStyle name="Huomautus 7 6" xfId="4749" xr:uid="{00000000-0005-0000-0000-0000CE120000}"/>
    <cellStyle name="Huomautus 8" xfId="4750" xr:uid="{00000000-0005-0000-0000-0000CF120000}"/>
    <cellStyle name="Huomautus 8 2" xfId="4751" xr:uid="{00000000-0005-0000-0000-0000D0120000}"/>
    <cellStyle name="Huomautus 8 2 2" xfId="4752" xr:uid="{00000000-0005-0000-0000-0000D1120000}"/>
    <cellStyle name="Huomautus 8 2 3" xfId="4753" xr:uid="{00000000-0005-0000-0000-0000D2120000}"/>
    <cellStyle name="Huomautus 8 2 4" xfId="4754" xr:uid="{00000000-0005-0000-0000-0000D3120000}"/>
    <cellStyle name="Huomautus 8 2 5" xfId="4755" xr:uid="{00000000-0005-0000-0000-0000D4120000}"/>
    <cellStyle name="Huomautus 8 3" xfId="4756" xr:uid="{00000000-0005-0000-0000-0000D5120000}"/>
    <cellStyle name="Huomautus 8 4" xfId="4757" xr:uid="{00000000-0005-0000-0000-0000D6120000}"/>
    <cellStyle name="Huomautus 8 5" xfId="4758" xr:uid="{00000000-0005-0000-0000-0000D7120000}"/>
    <cellStyle name="Huomautus 8 6" xfId="4759" xr:uid="{00000000-0005-0000-0000-0000D8120000}"/>
    <cellStyle name="Huomautus 9" xfId="4760" xr:uid="{00000000-0005-0000-0000-0000D9120000}"/>
    <cellStyle name="Huomautus 9 2" xfId="4761" xr:uid="{00000000-0005-0000-0000-0000DA120000}"/>
    <cellStyle name="Huomautus 9 2 2" xfId="4762" xr:uid="{00000000-0005-0000-0000-0000DB120000}"/>
    <cellStyle name="Huomautus 9 2 3" xfId="4763" xr:uid="{00000000-0005-0000-0000-0000DC120000}"/>
    <cellStyle name="Huomautus 9 2 4" xfId="4764" xr:uid="{00000000-0005-0000-0000-0000DD120000}"/>
    <cellStyle name="Huomautus 9 2 5" xfId="4765" xr:uid="{00000000-0005-0000-0000-0000DE120000}"/>
    <cellStyle name="Huomautus 9 3" xfId="4766" xr:uid="{00000000-0005-0000-0000-0000DF120000}"/>
    <cellStyle name="Huomautus 9 4" xfId="4767" xr:uid="{00000000-0005-0000-0000-0000E0120000}"/>
    <cellStyle name="Huomautus 9 5" xfId="4768" xr:uid="{00000000-0005-0000-0000-0000E1120000}"/>
    <cellStyle name="Huomautus 9 6" xfId="4769" xr:uid="{00000000-0005-0000-0000-0000E2120000}"/>
    <cellStyle name="Huomautus_PGM_CHECK" xfId="14894" xr:uid="{00000000-0005-0000-0000-0000E3120000}"/>
    <cellStyle name="Huono" xfId="4770" xr:uid="{00000000-0005-0000-0000-0000E4120000}"/>
    <cellStyle name="hvb mjhgvhgv" xfId="4771" xr:uid="{00000000-0005-0000-0000-0000E5120000}"/>
    <cellStyle name="Hyperkobling" xfId="14912" builtinId="8"/>
    <cellStyle name="Hyperlink 2" xfId="4772" xr:uid="{00000000-0005-0000-0000-0000E6120000}"/>
    <cellStyle name="Hyperlink 3" xfId="4773" xr:uid="{00000000-0005-0000-0000-0000E7120000}"/>
    <cellStyle name="Hyperlink_Italy RT - TNC 2013_JUN" xfId="4774" xr:uid="{00000000-0005-0000-0000-0000E8120000}"/>
    <cellStyle name="Hyvä" xfId="4775" xr:uid="{00000000-0005-0000-0000-0000E9120000}"/>
    <cellStyle name="Incorrecto" xfId="4776" xr:uid="{00000000-0005-0000-0000-0000EA120000}"/>
    <cellStyle name="Indata" xfId="4777" xr:uid="{00000000-0005-0000-0000-0000EB120000}"/>
    <cellStyle name="Indata 10" xfId="4778" xr:uid="{00000000-0005-0000-0000-0000EC120000}"/>
    <cellStyle name="Indata 10 2" xfId="4779" xr:uid="{00000000-0005-0000-0000-0000ED120000}"/>
    <cellStyle name="Indata 10 2 2" xfId="4780" xr:uid="{00000000-0005-0000-0000-0000EE120000}"/>
    <cellStyle name="Indata 10 2 3" xfId="4781" xr:uid="{00000000-0005-0000-0000-0000EF120000}"/>
    <cellStyle name="Indata 10 2 4" xfId="4782" xr:uid="{00000000-0005-0000-0000-0000F0120000}"/>
    <cellStyle name="Indata 10 2 5" xfId="4783" xr:uid="{00000000-0005-0000-0000-0000F1120000}"/>
    <cellStyle name="Indata 10 3" xfId="4784" xr:uid="{00000000-0005-0000-0000-0000F2120000}"/>
    <cellStyle name="Indata 10 4" xfId="4785" xr:uid="{00000000-0005-0000-0000-0000F3120000}"/>
    <cellStyle name="Indata 10 5" xfId="4786" xr:uid="{00000000-0005-0000-0000-0000F4120000}"/>
    <cellStyle name="Indata 10 6" xfId="4787" xr:uid="{00000000-0005-0000-0000-0000F5120000}"/>
    <cellStyle name="Indata 11" xfId="4788" xr:uid="{00000000-0005-0000-0000-0000F6120000}"/>
    <cellStyle name="Indata 11 2" xfId="4789" xr:uid="{00000000-0005-0000-0000-0000F7120000}"/>
    <cellStyle name="Indata 11 2 2" xfId="4790" xr:uid="{00000000-0005-0000-0000-0000F8120000}"/>
    <cellStyle name="Indata 11 2 3" xfId="4791" xr:uid="{00000000-0005-0000-0000-0000F9120000}"/>
    <cellStyle name="Indata 11 2 4" xfId="4792" xr:uid="{00000000-0005-0000-0000-0000FA120000}"/>
    <cellStyle name="Indata 11 2 5" xfId="4793" xr:uid="{00000000-0005-0000-0000-0000FB120000}"/>
    <cellStyle name="Indata 11 3" xfId="4794" xr:uid="{00000000-0005-0000-0000-0000FC120000}"/>
    <cellStyle name="Indata 11 4" xfId="4795" xr:uid="{00000000-0005-0000-0000-0000FD120000}"/>
    <cellStyle name="Indata 11 5" xfId="4796" xr:uid="{00000000-0005-0000-0000-0000FE120000}"/>
    <cellStyle name="Indata 11 6" xfId="4797" xr:uid="{00000000-0005-0000-0000-0000FF120000}"/>
    <cellStyle name="Indata 12" xfId="4798" xr:uid="{00000000-0005-0000-0000-000000130000}"/>
    <cellStyle name="Indata 12 2" xfId="4799" xr:uid="{00000000-0005-0000-0000-000001130000}"/>
    <cellStyle name="Indata 12 2 2" xfId="4800" xr:uid="{00000000-0005-0000-0000-000002130000}"/>
    <cellStyle name="Indata 12 2 3" xfId="4801" xr:uid="{00000000-0005-0000-0000-000003130000}"/>
    <cellStyle name="Indata 12 2 4" xfId="4802" xr:uid="{00000000-0005-0000-0000-000004130000}"/>
    <cellStyle name="Indata 12 2 5" xfId="4803" xr:uid="{00000000-0005-0000-0000-000005130000}"/>
    <cellStyle name="Indata 12 3" xfId="4804" xr:uid="{00000000-0005-0000-0000-000006130000}"/>
    <cellStyle name="Indata 12 4" xfId="4805" xr:uid="{00000000-0005-0000-0000-000007130000}"/>
    <cellStyle name="Indata 12 5" xfId="4806" xr:uid="{00000000-0005-0000-0000-000008130000}"/>
    <cellStyle name="Indata 12 6" xfId="4807" xr:uid="{00000000-0005-0000-0000-000009130000}"/>
    <cellStyle name="Indata 13" xfId="4808" xr:uid="{00000000-0005-0000-0000-00000A130000}"/>
    <cellStyle name="Indata 13 2" xfId="4809" xr:uid="{00000000-0005-0000-0000-00000B130000}"/>
    <cellStyle name="Indata 13 2 2" xfId="4810" xr:uid="{00000000-0005-0000-0000-00000C130000}"/>
    <cellStyle name="Indata 13 2 3" xfId="4811" xr:uid="{00000000-0005-0000-0000-00000D130000}"/>
    <cellStyle name="Indata 13 2 4" xfId="4812" xr:uid="{00000000-0005-0000-0000-00000E130000}"/>
    <cellStyle name="Indata 13 2 5" xfId="4813" xr:uid="{00000000-0005-0000-0000-00000F130000}"/>
    <cellStyle name="Indata 13 3" xfId="4814" xr:uid="{00000000-0005-0000-0000-000010130000}"/>
    <cellStyle name="Indata 13 4" xfId="4815" xr:uid="{00000000-0005-0000-0000-000011130000}"/>
    <cellStyle name="Indata 13 5" xfId="4816" xr:uid="{00000000-0005-0000-0000-000012130000}"/>
    <cellStyle name="Indata 13 6" xfId="4817" xr:uid="{00000000-0005-0000-0000-000013130000}"/>
    <cellStyle name="Indata 14" xfId="4818" xr:uid="{00000000-0005-0000-0000-000014130000}"/>
    <cellStyle name="Indata 14 2" xfId="4819" xr:uid="{00000000-0005-0000-0000-000015130000}"/>
    <cellStyle name="Indata 14 2 2" xfId="4820" xr:uid="{00000000-0005-0000-0000-000016130000}"/>
    <cellStyle name="Indata 14 2 3" xfId="4821" xr:uid="{00000000-0005-0000-0000-000017130000}"/>
    <cellStyle name="Indata 14 2 4" xfId="4822" xr:uid="{00000000-0005-0000-0000-000018130000}"/>
    <cellStyle name="Indata 14 2 5" xfId="4823" xr:uid="{00000000-0005-0000-0000-000019130000}"/>
    <cellStyle name="Indata 14 3" xfId="4824" xr:uid="{00000000-0005-0000-0000-00001A130000}"/>
    <cellStyle name="Indata 14 4" xfId="4825" xr:uid="{00000000-0005-0000-0000-00001B130000}"/>
    <cellStyle name="Indata 14 5" xfId="4826" xr:uid="{00000000-0005-0000-0000-00001C130000}"/>
    <cellStyle name="Indata 14 6" xfId="4827" xr:uid="{00000000-0005-0000-0000-00001D130000}"/>
    <cellStyle name="Indata 15" xfId="4828" xr:uid="{00000000-0005-0000-0000-00001E130000}"/>
    <cellStyle name="Indata 15 2" xfId="4829" xr:uid="{00000000-0005-0000-0000-00001F130000}"/>
    <cellStyle name="Indata 15 2 2" xfId="4830" xr:uid="{00000000-0005-0000-0000-000020130000}"/>
    <cellStyle name="Indata 15 2 3" xfId="4831" xr:uid="{00000000-0005-0000-0000-000021130000}"/>
    <cellStyle name="Indata 15 2 4" xfId="4832" xr:uid="{00000000-0005-0000-0000-000022130000}"/>
    <cellStyle name="Indata 15 2 5" xfId="4833" xr:uid="{00000000-0005-0000-0000-000023130000}"/>
    <cellStyle name="Indata 15 3" xfId="4834" xr:uid="{00000000-0005-0000-0000-000024130000}"/>
    <cellStyle name="Indata 15 4" xfId="4835" xr:uid="{00000000-0005-0000-0000-000025130000}"/>
    <cellStyle name="Indata 15 5" xfId="4836" xr:uid="{00000000-0005-0000-0000-000026130000}"/>
    <cellStyle name="Indata 15 6" xfId="4837" xr:uid="{00000000-0005-0000-0000-000027130000}"/>
    <cellStyle name="Indata 16" xfId="4838" xr:uid="{00000000-0005-0000-0000-000028130000}"/>
    <cellStyle name="Indata 16 2" xfId="4839" xr:uid="{00000000-0005-0000-0000-000029130000}"/>
    <cellStyle name="Indata 16 2 2" xfId="4840" xr:uid="{00000000-0005-0000-0000-00002A130000}"/>
    <cellStyle name="Indata 16 2 3" xfId="4841" xr:uid="{00000000-0005-0000-0000-00002B130000}"/>
    <cellStyle name="Indata 16 2 4" xfId="4842" xr:uid="{00000000-0005-0000-0000-00002C130000}"/>
    <cellStyle name="Indata 16 2 5" xfId="4843" xr:uid="{00000000-0005-0000-0000-00002D130000}"/>
    <cellStyle name="Indata 16 3" xfId="4844" xr:uid="{00000000-0005-0000-0000-00002E130000}"/>
    <cellStyle name="Indata 16 4" xfId="4845" xr:uid="{00000000-0005-0000-0000-00002F130000}"/>
    <cellStyle name="Indata 16 5" xfId="4846" xr:uid="{00000000-0005-0000-0000-000030130000}"/>
    <cellStyle name="Indata 16 6" xfId="4847" xr:uid="{00000000-0005-0000-0000-000031130000}"/>
    <cellStyle name="Indata 17" xfId="4848" xr:uid="{00000000-0005-0000-0000-000032130000}"/>
    <cellStyle name="Indata 17 2" xfId="4849" xr:uid="{00000000-0005-0000-0000-000033130000}"/>
    <cellStyle name="Indata 17 2 2" xfId="4850" xr:uid="{00000000-0005-0000-0000-000034130000}"/>
    <cellStyle name="Indata 17 2 3" xfId="4851" xr:uid="{00000000-0005-0000-0000-000035130000}"/>
    <cellStyle name="Indata 17 2 4" xfId="4852" xr:uid="{00000000-0005-0000-0000-000036130000}"/>
    <cellStyle name="Indata 17 2 5" xfId="4853" xr:uid="{00000000-0005-0000-0000-000037130000}"/>
    <cellStyle name="Indata 17 3" xfId="4854" xr:uid="{00000000-0005-0000-0000-000038130000}"/>
    <cellStyle name="Indata 17 4" xfId="4855" xr:uid="{00000000-0005-0000-0000-000039130000}"/>
    <cellStyle name="Indata 17 5" xfId="4856" xr:uid="{00000000-0005-0000-0000-00003A130000}"/>
    <cellStyle name="Indata 17 6" xfId="4857" xr:uid="{00000000-0005-0000-0000-00003B130000}"/>
    <cellStyle name="Indata 18" xfId="4858" xr:uid="{00000000-0005-0000-0000-00003C130000}"/>
    <cellStyle name="Indata 18 2" xfId="4859" xr:uid="{00000000-0005-0000-0000-00003D130000}"/>
    <cellStyle name="Indata 18 2 2" xfId="4860" xr:uid="{00000000-0005-0000-0000-00003E130000}"/>
    <cellStyle name="Indata 18 2 3" xfId="4861" xr:uid="{00000000-0005-0000-0000-00003F130000}"/>
    <cellStyle name="Indata 18 2 4" xfId="4862" xr:uid="{00000000-0005-0000-0000-000040130000}"/>
    <cellStyle name="Indata 18 2 5" xfId="4863" xr:uid="{00000000-0005-0000-0000-000041130000}"/>
    <cellStyle name="Indata 18 3" xfId="4864" xr:uid="{00000000-0005-0000-0000-000042130000}"/>
    <cellStyle name="Indata 18 4" xfId="4865" xr:uid="{00000000-0005-0000-0000-000043130000}"/>
    <cellStyle name="Indata 18 5" xfId="4866" xr:uid="{00000000-0005-0000-0000-000044130000}"/>
    <cellStyle name="Indata 18 6" xfId="4867" xr:uid="{00000000-0005-0000-0000-000045130000}"/>
    <cellStyle name="Indata 19" xfId="4868" xr:uid="{00000000-0005-0000-0000-000046130000}"/>
    <cellStyle name="Indata 19 2" xfId="4869" xr:uid="{00000000-0005-0000-0000-000047130000}"/>
    <cellStyle name="Indata 19 3" xfId="4870" xr:uid="{00000000-0005-0000-0000-000048130000}"/>
    <cellStyle name="Indata 19 4" xfId="4871" xr:uid="{00000000-0005-0000-0000-000049130000}"/>
    <cellStyle name="Indata 19 5" xfId="4872" xr:uid="{00000000-0005-0000-0000-00004A130000}"/>
    <cellStyle name="Indata 2" xfId="4873" xr:uid="{00000000-0005-0000-0000-00004B130000}"/>
    <cellStyle name="Indata 2 2" xfId="4874" xr:uid="{00000000-0005-0000-0000-00004C130000}"/>
    <cellStyle name="Indata 2 2 2" xfId="4875" xr:uid="{00000000-0005-0000-0000-00004D130000}"/>
    <cellStyle name="Indata 2 2 3" xfId="4876" xr:uid="{00000000-0005-0000-0000-00004E130000}"/>
    <cellStyle name="Indata 2 2 4" xfId="4877" xr:uid="{00000000-0005-0000-0000-00004F130000}"/>
    <cellStyle name="Indata 2 2 5" xfId="4878" xr:uid="{00000000-0005-0000-0000-000050130000}"/>
    <cellStyle name="Indata 2 3" xfId="4879" xr:uid="{00000000-0005-0000-0000-000051130000}"/>
    <cellStyle name="Indata 2 4" xfId="4880" xr:uid="{00000000-0005-0000-0000-000052130000}"/>
    <cellStyle name="Indata 2 5" xfId="4881" xr:uid="{00000000-0005-0000-0000-000053130000}"/>
    <cellStyle name="Indata 2 6" xfId="4882" xr:uid="{00000000-0005-0000-0000-000054130000}"/>
    <cellStyle name="Indata 20" xfId="4883" xr:uid="{00000000-0005-0000-0000-000055130000}"/>
    <cellStyle name="Indata 21" xfId="4884" xr:uid="{00000000-0005-0000-0000-000056130000}"/>
    <cellStyle name="Indata 22" xfId="4885" xr:uid="{00000000-0005-0000-0000-000057130000}"/>
    <cellStyle name="Indata 23" xfId="4886" xr:uid="{00000000-0005-0000-0000-000058130000}"/>
    <cellStyle name="Indata 3" xfId="4887" xr:uid="{00000000-0005-0000-0000-000059130000}"/>
    <cellStyle name="Indata 3 2" xfId="4888" xr:uid="{00000000-0005-0000-0000-00005A130000}"/>
    <cellStyle name="Indata 3 2 2" xfId="4889" xr:uid="{00000000-0005-0000-0000-00005B130000}"/>
    <cellStyle name="Indata 3 2 3" xfId="4890" xr:uid="{00000000-0005-0000-0000-00005C130000}"/>
    <cellStyle name="Indata 3 2 4" xfId="4891" xr:uid="{00000000-0005-0000-0000-00005D130000}"/>
    <cellStyle name="Indata 3 2 5" xfId="4892" xr:uid="{00000000-0005-0000-0000-00005E130000}"/>
    <cellStyle name="Indata 3 3" xfId="4893" xr:uid="{00000000-0005-0000-0000-00005F130000}"/>
    <cellStyle name="Indata 3 4" xfId="4894" xr:uid="{00000000-0005-0000-0000-000060130000}"/>
    <cellStyle name="Indata 3 5" xfId="4895" xr:uid="{00000000-0005-0000-0000-000061130000}"/>
    <cellStyle name="Indata 3 6" xfId="4896" xr:uid="{00000000-0005-0000-0000-000062130000}"/>
    <cellStyle name="Indata 4" xfId="4897" xr:uid="{00000000-0005-0000-0000-000063130000}"/>
    <cellStyle name="Indata 4 2" xfId="4898" xr:uid="{00000000-0005-0000-0000-000064130000}"/>
    <cellStyle name="Indata 4 2 2" xfId="4899" xr:uid="{00000000-0005-0000-0000-000065130000}"/>
    <cellStyle name="Indata 4 2 3" xfId="4900" xr:uid="{00000000-0005-0000-0000-000066130000}"/>
    <cellStyle name="Indata 4 2 4" xfId="4901" xr:uid="{00000000-0005-0000-0000-000067130000}"/>
    <cellStyle name="Indata 4 2 5" xfId="4902" xr:uid="{00000000-0005-0000-0000-000068130000}"/>
    <cellStyle name="Indata 4 3" xfId="4903" xr:uid="{00000000-0005-0000-0000-000069130000}"/>
    <cellStyle name="Indata 4 4" xfId="4904" xr:uid="{00000000-0005-0000-0000-00006A130000}"/>
    <cellStyle name="Indata 4 5" xfId="4905" xr:uid="{00000000-0005-0000-0000-00006B130000}"/>
    <cellStyle name="Indata 4 6" xfId="4906" xr:uid="{00000000-0005-0000-0000-00006C130000}"/>
    <cellStyle name="Indata 5" xfId="4907" xr:uid="{00000000-0005-0000-0000-00006D130000}"/>
    <cellStyle name="Indata 5 2" xfId="4908" xr:uid="{00000000-0005-0000-0000-00006E130000}"/>
    <cellStyle name="Indata 5 2 2" xfId="4909" xr:uid="{00000000-0005-0000-0000-00006F130000}"/>
    <cellStyle name="Indata 5 2 3" xfId="4910" xr:uid="{00000000-0005-0000-0000-000070130000}"/>
    <cellStyle name="Indata 5 2 4" xfId="4911" xr:uid="{00000000-0005-0000-0000-000071130000}"/>
    <cellStyle name="Indata 5 2 5" xfId="4912" xr:uid="{00000000-0005-0000-0000-000072130000}"/>
    <cellStyle name="Indata 5 3" xfId="4913" xr:uid="{00000000-0005-0000-0000-000073130000}"/>
    <cellStyle name="Indata 5 4" xfId="4914" xr:uid="{00000000-0005-0000-0000-000074130000}"/>
    <cellStyle name="Indata 5 5" xfId="4915" xr:uid="{00000000-0005-0000-0000-000075130000}"/>
    <cellStyle name="Indata 5 6" xfId="4916" xr:uid="{00000000-0005-0000-0000-000076130000}"/>
    <cellStyle name="Indata 6" xfId="4917" xr:uid="{00000000-0005-0000-0000-000077130000}"/>
    <cellStyle name="Indata 6 2" xfId="4918" xr:uid="{00000000-0005-0000-0000-000078130000}"/>
    <cellStyle name="Indata 6 2 2" xfId="4919" xr:uid="{00000000-0005-0000-0000-000079130000}"/>
    <cellStyle name="Indata 6 2 3" xfId="4920" xr:uid="{00000000-0005-0000-0000-00007A130000}"/>
    <cellStyle name="Indata 6 2 4" xfId="4921" xr:uid="{00000000-0005-0000-0000-00007B130000}"/>
    <cellStyle name="Indata 6 2 5" xfId="4922" xr:uid="{00000000-0005-0000-0000-00007C130000}"/>
    <cellStyle name="Indata 6 3" xfId="4923" xr:uid="{00000000-0005-0000-0000-00007D130000}"/>
    <cellStyle name="Indata 6 4" xfId="4924" xr:uid="{00000000-0005-0000-0000-00007E130000}"/>
    <cellStyle name="Indata 6 5" xfId="4925" xr:uid="{00000000-0005-0000-0000-00007F130000}"/>
    <cellStyle name="Indata 6 6" xfId="4926" xr:uid="{00000000-0005-0000-0000-000080130000}"/>
    <cellStyle name="Indata 7" xfId="4927" xr:uid="{00000000-0005-0000-0000-000081130000}"/>
    <cellStyle name="Indata 7 2" xfId="4928" xr:uid="{00000000-0005-0000-0000-000082130000}"/>
    <cellStyle name="Indata 7 2 2" xfId="4929" xr:uid="{00000000-0005-0000-0000-000083130000}"/>
    <cellStyle name="Indata 7 2 3" xfId="4930" xr:uid="{00000000-0005-0000-0000-000084130000}"/>
    <cellStyle name="Indata 7 2 4" xfId="4931" xr:uid="{00000000-0005-0000-0000-000085130000}"/>
    <cellStyle name="Indata 7 2 5" xfId="4932" xr:uid="{00000000-0005-0000-0000-000086130000}"/>
    <cellStyle name="Indata 7 3" xfId="4933" xr:uid="{00000000-0005-0000-0000-000087130000}"/>
    <cellStyle name="Indata 7 4" xfId="4934" xr:uid="{00000000-0005-0000-0000-000088130000}"/>
    <cellStyle name="Indata 7 5" xfId="4935" xr:uid="{00000000-0005-0000-0000-000089130000}"/>
    <cellStyle name="Indata 7 6" xfId="4936" xr:uid="{00000000-0005-0000-0000-00008A130000}"/>
    <cellStyle name="Indata 8" xfId="4937" xr:uid="{00000000-0005-0000-0000-00008B130000}"/>
    <cellStyle name="Indata 8 2" xfId="4938" xr:uid="{00000000-0005-0000-0000-00008C130000}"/>
    <cellStyle name="Indata 8 2 2" xfId="4939" xr:uid="{00000000-0005-0000-0000-00008D130000}"/>
    <cellStyle name="Indata 8 2 3" xfId="4940" xr:uid="{00000000-0005-0000-0000-00008E130000}"/>
    <cellStyle name="Indata 8 2 4" xfId="4941" xr:uid="{00000000-0005-0000-0000-00008F130000}"/>
    <cellStyle name="Indata 8 2 5" xfId="4942" xr:uid="{00000000-0005-0000-0000-000090130000}"/>
    <cellStyle name="Indata 8 3" xfId="4943" xr:uid="{00000000-0005-0000-0000-000091130000}"/>
    <cellStyle name="Indata 8 4" xfId="4944" xr:uid="{00000000-0005-0000-0000-000092130000}"/>
    <cellStyle name="Indata 8 5" xfId="4945" xr:uid="{00000000-0005-0000-0000-000093130000}"/>
    <cellStyle name="Indata 8 6" xfId="4946" xr:uid="{00000000-0005-0000-0000-000094130000}"/>
    <cellStyle name="Indata 9" xfId="4947" xr:uid="{00000000-0005-0000-0000-000095130000}"/>
    <cellStyle name="Indata 9 2" xfId="4948" xr:uid="{00000000-0005-0000-0000-000096130000}"/>
    <cellStyle name="Indata 9 2 2" xfId="4949" xr:uid="{00000000-0005-0000-0000-000097130000}"/>
    <cellStyle name="Indata 9 2 3" xfId="4950" xr:uid="{00000000-0005-0000-0000-000098130000}"/>
    <cellStyle name="Indata 9 2 4" xfId="4951" xr:uid="{00000000-0005-0000-0000-000099130000}"/>
    <cellStyle name="Indata 9 2 5" xfId="4952" xr:uid="{00000000-0005-0000-0000-00009A130000}"/>
    <cellStyle name="Indata 9 3" xfId="4953" xr:uid="{00000000-0005-0000-0000-00009B130000}"/>
    <cellStyle name="Indata 9 4" xfId="4954" xr:uid="{00000000-0005-0000-0000-00009C130000}"/>
    <cellStyle name="Indata 9 5" xfId="4955" xr:uid="{00000000-0005-0000-0000-00009D130000}"/>
    <cellStyle name="Indata 9 6" xfId="4956" xr:uid="{00000000-0005-0000-0000-00009E130000}"/>
    <cellStyle name="Indata_PGM_CHECK" xfId="14872" xr:uid="{00000000-0005-0000-0000-00009F130000}"/>
    <cellStyle name="Index FITT" xfId="4957" xr:uid="{00000000-0005-0000-0000-0000A0130000}"/>
    <cellStyle name="Inndata" xfId="4958" builtinId="20" customBuiltin="1"/>
    <cellStyle name="Input (StyleA)" xfId="4959" xr:uid="{00000000-0005-0000-0000-0000A2130000}"/>
    <cellStyle name="Input [yellow]" xfId="4960" xr:uid="{00000000-0005-0000-0000-0000A3130000}"/>
    <cellStyle name="Input 1" xfId="4961" xr:uid="{00000000-0005-0000-0000-0000A4130000}"/>
    <cellStyle name="Input 10" xfId="4962" xr:uid="{00000000-0005-0000-0000-0000A5130000}"/>
    <cellStyle name="Input 10 2" xfId="4963" xr:uid="{00000000-0005-0000-0000-0000A6130000}"/>
    <cellStyle name="Input 10 2 2" xfId="4964" xr:uid="{00000000-0005-0000-0000-0000A7130000}"/>
    <cellStyle name="Input 10 2 3" xfId="4965" xr:uid="{00000000-0005-0000-0000-0000A8130000}"/>
    <cellStyle name="Input 10 2 4" xfId="4966" xr:uid="{00000000-0005-0000-0000-0000A9130000}"/>
    <cellStyle name="Input 10 2 5" xfId="4967" xr:uid="{00000000-0005-0000-0000-0000AA130000}"/>
    <cellStyle name="Input 10 3" xfId="4968" xr:uid="{00000000-0005-0000-0000-0000AB130000}"/>
    <cellStyle name="Input 10 4" xfId="4969" xr:uid="{00000000-0005-0000-0000-0000AC130000}"/>
    <cellStyle name="Input 10 5" xfId="4970" xr:uid="{00000000-0005-0000-0000-0000AD130000}"/>
    <cellStyle name="Input 10 6" xfId="4971" xr:uid="{00000000-0005-0000-0000-0000AE130000}"/>
    <cellStyle name="Input 11" xfId="4972" xr:uid="{00000000-0005-0000-0000-0000AF130000}"/>
    <cellStyle name="Input 11 2" xfId="4973" xr:uid="{00000000-0005-0000-0000-0000B0130000}"/>
    <cellStyle name="Input 11 2 2" xfId="4974" xr:uid="{00000000-0005-0000-0000-0000B1130000}"/>
    <cellStyle name="Input 11 2 3" xfId="4975" xr:uid="{00000000-0005-0000-0000-0000B2130000}"/>
    <cellStyle name="Input 11 2 4" xfId="4976" xr:uid="{00000000-0005-0000-0000-0000B3130000}"/>
    <cellStyle name="Input 11 2 5" xfId="4977" xr:uid="{00000000-0005-0000-0000-0000B4130000}"/>
    <cellStyle name="Input 11 3" xfId="4978" xr:uid="{00000000-0005-0000-0000-0000B5130000}"/>
    <cellStyle name="Input 11 4" xfId="4979" xr:uid="{00000000-0005-0000-0000-0000B6130000}"/>
    <cellStyle name="Input 11 5" xfId="4980" xr:uid="{00000000-0005-0000-0000-0000B7130000}"/>
    <cellStyle name="Input 11 6" xfId="4981" xr:uid="{00000000-0005-0000-0000-0000B8130000}"/>
    <cellStyle name="Input 12" xfId="4982" xr:uid="{00000000-0005-0000-0000-0000B9130000}"/>
    <cellStyle name="Input 12 2" xfId="4983" xr:uid="{00000000-0005-0000-0000-0000BA130000}"/>
    <cellStyle name="Input 12 2 2" xfId="4984" xr:uid="{00000000-0005-0000-0000-0000BB130000}"/>
    <cellStyle name="Input 12 2 3" xfId="4985" xr:uid="{00000000-0005-0000-0000-0000BC130000}"/>
    <cellStyle name="Input 12 2 4" xfId="4986" xr:uid="{00000000-0005-0000-0000-0000BD130000}"/>
    <cellStyle name="Input 12 2 5" xfId="4987" xr:uid="{00000000-0005-0000-0000-0000BE130000}"/>
    <cellStyle name="Input 12 3" xfId="4988" xr:uid="{00000000-0005-0000-0000-0000BF130000}"/>
    <cellStyle name="Input 12 4" xfId="4989" xr:uid="{00000000-0005-0000-0000-0000C0130000}"/>
    <cellStyle name="Input 12 5" xfId="4990" xr:uid="{00000000-0005-0000-0000-0000C1130000}"/>
    <cellStyle name="Input 12 6" xfId="4991" xr:uid="{00000000-0005-0000-0000-0000C2130000}"/>
    <cellStyle name="Input 13" xfId="4992" xr:uid="{00000000-0005-0000-0000-0000C3130000}"/>
    <cellStyle name="Input 13 2" xfId="4993" xr:uid="{00000000-0005-0000-0000-0000C4130000}"/>
    <cellStyle name="Input 13 2 2" xfId="4994" xr:uid="{00000000-0005-0000-0000-0000C5130000}"/>
    <cellStyle name="Input 13 2 3" xfId="4995" xr:uid="{00000000-0005-0000-0000-0000C6130000}"/>
    <cellStyle name="Input 13 2 4" xfId="4996" xr:uid="{00000000-0005-0000-0000-0000C7130000}"/>
    <cellStyle name="Input 13 2 5" xfId="4997" xr:uid="{00000000-0005-0000-0000-0000C8130000}"/>
    <cellStyle name="Input 13 3" xfId="4998" xr:uid="{00000000-0005-0000-0000-0000C9130000}"/>
    <cellStyle name="Input 13 4" xfId="4999" xr:uid="{00000000-0005-0000-0000-0000CA130000}"/>
    <cellStyle name="Input 13 5" xfId="5000" xr:uid="{00000000-0005-0000-0000-0000CB130000}"/>
    <cellStyle name="Input 13 6" xfId="5001" xr:uid="{00000000-0005-0000-0000-0000CC130000}"/>
    <cellStyle name="Input 14" xfId="5002" xr:uid="{00000000-0005-0000-0000-0000CD130000}"/>
    <cellStyle name="Input 14 2" xfId="5003" xr:uid="{00000000-0005-0000-0000-0000CE130000}"/>
    <cellStyle name="Input 14 2 2" xfId="5004" xr:uid="{00000000-0005-0000-0000-0000CF130000}"/>
    <cellStyle name="Input 14 2 3" xfId="5005" xr:uid="{00000000-0005-0000-0000-0000D0130000}"/>
    <cellStyle name="Input 14 2 4" xfId="5006" xr:uid="{00000000-0005-0000-0000-0000D1130000}"/>
    <cellStyle name="Input 14 2 5" xfId="5007" xr:uid="{00000000-0005-0000-0000-0000D2130000}"/>
    <cellStyle name="Input 14 3" xfId="5008" xr:uid="{00000000-0005-0000-0000-0000D3130000}"/>
    <cellStyle name="Input 14 4" xfId="5009" xr:uid="{00000000-0005-0000-0000-0000D4130000}"/>
    <cellStyle name="Input 14 5" xfId="5010" xr:uid="{00000000-0005-0000-0000-0000D5130000}"/>
    <cellStyle name="Input 14 6" xfId="5011" xr:uid="{00000000-0005-0000-0000-0000D6130000}"/>
    <cellStyle name="Input 15" xfId="5012" xr:uid="{00000000-0005-0000-0000-0000D7130000}"/>
    <cellStyle name="Input 15 2" xfId="5013" xr:uid="{00000000-0005-0000-0000-0000D8130000}"/>
    <cellStyle name="Input 15 2 2" xfId="5014" xr:uid="{00000000-0005-0000-0000-0000D9130000}"/>
    <cellStyle name="Input 15 2 3" xfId="5015" xr:uid="{00000000-0005-0000-0000-0000DA130000}"/>
    <cellStyle name="Input 15 2 4" xfId="5016" xr:uid="{00000000-0005-0000-0000-0000DB130000}"/>
    <cellStyle name="Input 15 2 5" xfId="5017" xr:uid="{00000000-0005-0000-0000-0000DC130000}"/>
    <cellStyle name="Input 15 3" xfId="5018" xr:uid="{00000000-0005-0000-0000-0000DD130000}"/>
    <cellStyle name="Input 15 4" xfId="5019" xr:uid="{00000000-0005-0000-0000-0000DE130000}"/>
    <cellStyle name="Input 15 5" xfId="5020" xr:uid="{00000000-0005-0000-0000-0000DF130000}"/>
    <cellStyle name="Input 15 6" xfId="5021" xr:uid="{00000000-0005-0000-0000-0000E0130000}"/>
    <cellStyle name="Input 16" xfId="5022" xr:uid="{00000000-0005-0000-0000-0000E1130000}"/>
    <cellStyle name="Input 16 2" xfId="5023" xr:uid="{00000000-0005-0000-0000-0000E2130000}"/>
    <cellStyle name="Input 16 2 2" xfId="5024" xr:uid="{00000000-0005-0000-0000-0000E3130000}"/>
    <cellStyle name="Input 16 2 3" xfId="5025" xr:uid="{00000000-0005-0000-0000-0000E4130000}"/>
    <cellStyle name="Input 16 2 4" xfId="5026" xr:uid="{00000000-0005-0000-0000-0000E5130000}"/>
    <cellStyle name="Input 16 2 5" xfId="5027" xr:uid="{00000000-0005-0000-0000-0000E6130000}"/>
    <cellStyle name="Input 16 3" xfId="5028" xr:uid="{00000000-0005-0000-0000-0000E7130000}"/>
    <cellStyle name="Input 16 4" xfId="5029" xr:uid="{00000000-0005-0000-0000-0000E8130000}"/>
    <cellStyle name="Input 16 5" xfId="5030" xr:uid="{00000000-0005-0000-0000-0000E9130000}"/>
    <cellStyle name="Input 16 6" xfId="5031" xr:uid="{00000000-0005-0000-0000-0000EA130000}"/>
    <cellStyle name="Input 17" xfId="5032" xr:uid="{00000000-0005-0000-0000-0000EB130000}"/>
    <cellStyle name="Input 17 2" xfId="5033" xr:uid="{00000000-0005-0000-0000-0000EC130000}"/>
    <cellStyle name="Input 17 3" xfId="5034" xr:uid="{00000000-0005-0000-0000-0000ED130000}"/>
    <cellStyle name="Input 17 4" xfId="5035" xr:uid="{00000000-0005-0000-0000-0000EE130000}"/>
    <cellStyle name="Input 17 5" xfId="5036" xr:uid="{00000000-0005-0000-0000-0000EF130000}"/>
    <cellStyle name="Input 18" xfId="5037" xr:uid="{00000000-0005-0000-0000-0000F0130000}"/>
    <cellStyle name="Input 18 2" xfId="5038" xr:uid="{00000000-0005-0000-0000-0000F1130000}"/>
    <cellStyle name="Input 18 3" xfId="5039" xr:uid="{00000000-0005-0000-0000-0000F2130000}"/>
    <cellStyle name="Input 18 4" xfId="5040" xr:uid="{00000000-0005-0000-0000-0000F3130000}"/>
    <cellStyle name="Input 18 5" xfId="5041" xr:uid="{00000000-0005-0000-0000-0000F4130000}"/>
    <cellStyle name="Input 19" xfId="5042" xr:uid="{00000000-0005-0000-0000-0000F5130000}"/>
    <cellStyle name="Input 2" xfId="5043" xr:uid="{00000000-0005-0000-0000-0000F6130000}"/>
    <cellStyle name="Input 2 2" xfId="5044" xr:uid="{00000000-0005-0000-0000-0000F7130000}"/>
    <cellStyle name="Input 2 2 2" xfId="5045" xr:uid="{00000000-0005-0000-0000-0000F8130000}"/>
    <cellStyle name="Input 2 2 3" xfId="5046" xr:uid="{00000000-0005-0000-0000-0000F9130000}"/>
    <cellStyle name="Input 2 2 4" xfId="5047" xr:uid="{00000000-0005-0000-0000-0000FA130000}"/>
    <cellStyle name="Input 2 2 5" xfId="5048" xr:uid="{00000000-0005-0000-0000-0000FB130000}"/>
    <cellStyle name="Input 2 3" xfId="5049" xr:uid="{00000000-0005-0000-0000-0000FC130000}"/>
    <cellStyle name="Input 2_KTR An-Abflug" xfId="14691" xr:uid="{00000000-0005-0000-0000-0000FD130000}"/>
    <cellStyle name="Input 20" xfId="5050" xr:uid="{00000000-0005-0000-0000-0000FE130000}"/>
    <cellStyle name="Input 21" xfId="5051" xr:uid="{00000000-0005-0000-0000-0000FF130000}"/>
    <cellStyle name="Input 22" xfId="5052" xr:uid="{00000000-0005-0000-0000-000000140000}"/>
    <cellStyle name="Input 23" xfId="5053" xr:uid="{00000000-0005-0000-0000-000001140000}"/>
    <cellStyle name="Input 24" xfId="5054" xr:uid="{00000000-0005-0000-0000-000002140000}"/>
    <cellStyle name="Input 3" xfId="5055" xr:uid="{00000000-0005-0000-0000-000003140000}"/>
    <cellStyle name="Input 3 2" xfId="5056" xr:uid="{00000000-0005-0000-0000-000004140000}"/>
    <cellStyle name="Input 3 2 2" xfId="5057" xr:uid="{00000000-0005-0000-0000-000005140000}"/>
    <cellStyle name="Input 3 2 3" xfId="5058" xr:uid="{00000000-0005-0000-0000-000006140000}"/>
    <cellStyle name="Input 3 2 4" xfId="5059" xr:uid="{00000000-0005-0000-0000-000007140000}"/>
    <cellStyle name="Input 3 2 5" xfId="5060" xr:uid="{00000000-0005-0000-0000-000008140000}"/>
    <cellStyle name="Input 3 2 6" xfId="5061" xr:uid="{00000000-0005-0000-0000-000009140000}"/>
    <cellStyle name="Input 3 3" xfId="5062" xr:uid="{00000000-0005-0000-0000-00000A140000}"/>
    <cellStyle name="Input 3 3 2" xfId="5063" xr:uid="{00000000-0005-0000-0000-00000B140000}"/>
    <cellStyle name="Input 3 3 2 2" xfId="5064" xr:uid="{00000000-0005-0000-0000-00000C140000}"/>
    <cellStyle name="Input 3 3 2 3" xfId="5065" xr:uid="{00000000-0005-0000-0000-00000D140000}"/>
    <cellStyle name="Input 3_KTR An-Abflug" xfId="14885" xr:uid="{00000000-0005-0000-0000-00000E140000}"/>
    <cellStyle name="Input 4" xfId="5066" xr:uid="{00000000-0005-0000-0000-00000F140000}"/>
    <cellStyle name="Input 4 2" xfId="5067" xr:uid="{00000000-0005-0000-0000-000010140000}"/>
    <cellStyle name="Input 4 2 2" xfId="5068" xr:uid="{00000000-0005-0000-0000-000011140000}"/>
    <cellStyle name="Input 4 2 3" xfId="5069" xr:uid="{00000000-0005-0000-0000-000012140000}"/>
    <cellStyle name="Input 4 2 4" xfId="5070" xr:uid="{00000000-0005-0000-0000-000013140000}"/>
    <cellStyle name="Input 4 2 5" xfId="5071" xr:uid="{00000000-0005-0000-0000-000014140000}"/>
    <cellStyle name="Input 4 2 6" xfId="5072" xr:uid="{00000000-0005-0000-0000-000015140000}"/>
    <cellStyle name="Input 4 3" xfId="5073" xr:uid="{00000000-0005-0000-0000-000016140000}"/>
    <cellStyle name="Input 4 3 2" xfId="5074" xr:uid="{00000000-0005-0000-0000-000017140000}"/>
    <cellStyle name="Input 4 3 2 2" xfId="5075" xr:uid="{00000000-0005-0000-0000-000018140000}"/>
    <cellStyle name="Input 4 3 2 3" xfId="5076" xr:uid="{00000000-0005-0000-0000-000019140000}"/>
    <cellStyle name="Input 4_KTR An-Abflug" xfId="14832" xr:uid="{00000000-0005-0000-0000-00001A140000}"/>
    <cellStyle name="Input 5" xfId="5077" xr:uid="{00000000-0005-0000-0000-00001B140000}"/>
    <cellStyle name="Input 5 2" xfId="5078" xr:uid="{00000000-0005-0000-0000-00001C140000}"/>
    <cellStyle name="Input 5 2 2" xfId="5079" xr:uid="{00000000-0005-0000-0000-00001D140000}"/>
    <cellStyle name="Input 5 2 3" xfId="5080" xr:uid="{00000000-0005-0000-0000-00001E140000}"/>
    <cellStyle name="Input 5 2 4" xfId="5081" xr:uid="{00000000-0005-0000-0000-00001F140000}"/>
    <cellStyle name="Input 5 2 5" xfId="5082" xr:uid="{00000000-0005-0000-0000-000020140000}"/>
    <cellStyle name="Input 5 3" xfId="5083" xr:uid="{00000000-0005-0000-0000-000021140000}"/>
    <cellStyle name="Input 5_KTR An-Abflug" xfId="14706" xr:uid="{00000000-0005-0000-0000-000022140000}"/>
    <cellStyle name="Input 6" xfId="5084" xr:uid="{00000000-0005-0000-0000-000023140000}"/>
    <cellStyle name="Input 6 2" xfId="5085" xr:uid="{00000000-0005-0000-0000-000024140000}"/>
    <cellStyle name="Input 6 2 2" xfId="5086" xr:uid="{00000000-0005-0000-0000-000025140000}"/>
    <cellStyle name="Input 6 2 3" xfId="5087" xr:uid="{00000000-0005-0000-0000-000026140000}"/>
    <cellStyle name="Input 6 2 4" xfId="5088" xr:uid="{00000000-0005-0000-0000-000027140000}"/>
    <cellStyle name="Input 6 2 5" xfId="5089" xr:uid="{00000000-0005-0000-0000-000028140000}"/>
    <cellStyle name="Input 6 3" xfId="5090" xr:uid="{00000000-0005-0000-0000-000029140000}"/>
    <cellStyle name="Input 6_KTR An-Abflug" xfId="14889" xr:uid="{00000000-0005-0000-0000-00002A140000}"/>
    <cellStyle name="Input 7" xfId="5091" xr:uid="{00000000-0005-0000-0000-00002B140000}"/>
    <cellStyle name="Input 7 2" xfId="5092" xr:uid="{00000000-0005-0000-0000-00002C140000}"/>
    <cellStyle name="Input 7 2 2" xfId="5093" xr:uid="{00000000-0005-0000-0000-00002D140000}"/>
    <cellStyle name="Input 7 2 3" xfId="5094" xr:uid="{00000000-0005-0000-0000-00002E140000}"/>
    <cellStyle name="Input 7 2 4" xfId="5095" xr:uid="{00000000-0005-0000-0000-00002F140000}"/>
    <cellStyle name="Input 7 2 5" xfId="5096" xr:uid="{00000000-0005-0000-0000-000030140000}"/>
    <cellStyle name="Input 7 3" xfId="5097" xr:uid="{00000000-0005-0000-0000-000031140000}"/>
    <cellStyle name="Input 7 4" xfId="5098" xr:uid="{00000000-0005-0000-0000-000032140000}"/>
    <cellStyle name="Input 7 5" xfId="5099" xr:uid="{00000000-0005-0000-0000-000033140000}"/>
    <cellStyle name="Input 7 6" xfId="5100" xr:uid="{00000000-0005-0000-0000-000034140000}"/>
    <cellStyle name="Input 8" xfId="5101" xr:uid="{00000000-0005-0000-0000-000035140000}"/>
    <cellStyle name="Input 8 2" xfId="5102" xr:uid="{00000000-0005-0000-0000-000036140000}"/>
    <cellStyle name="Input 8 2 2" xfId="5103" xr:uid="{00000000-0005-0000-0000-000037140000}"/>
    <cellStyle name="Input 8 2 3" xfId="5104" xr:uid="{00000000-0005-0000-0000-000038140000}"/>
    <cellStyle name="Input 8 2 4" xfId="5105" xr:uid="{00000000-0005-0000-0000-000039140000}"/>
    <cellStyle name="Input 8 2 5" xfId="5106" xr:uid="{00000000-0005-0000-0000-00003A140000}"/>
    <cellStyle name="Input 8 3" xfId="5107" xr:uid="{00000000-0005-0000-0000-00003B140000}"/>
    <cellStyle name="Input 8 4" xfId="5108" xr:uid="{00000000-0005-0000-0000-00003C140000}"/>
    <cellStyle name="Input 8 5" xfId="5109" xr:uid="{00000000-0005-0000-0000-00003D140000}"/>
    <cellStyle name="Input 8 6" xfId="5110" xr:uid="{00000000-0005-0000-0000-00003E140000}"/>
    <cellStyle name="Input 9" xfId="5111" xr:uid="{00000000-0005-0000-0000-00003F140000}"/>
    <cellStyle name="Input 9 2" xfId="5112" xr:uid="{00000000-0005-0000-0000-000040140000}"/>
    <cellStyle name="Input 9 2 2" xfId="5113" xr:uid="{00000000-0005-0000-0000-000041140000}"/>
    <cellStyle name="Input 9 2 3" xfId="5114" xr:uid="{00000000-0005-0000-0000-000042140000}"/>
    <cellStyle name="Input 9 2 4" xfId="5115" xr:uid="{00000000-0005-0000-0000-000043140000}"/>
    <cellStyle name="Input 9 2 5" xfId="5116" xr:uid="{00000000-0005-0000-0000-000044140000}"/>
    <cellStyle name="Input 9 3" xfId="5117" xr:uid="{00000000-0005-0000-0000-000045140000}"/>
    <cellStyle name="Input 9 4" xfId="5118" xr:uid="{00000000-0005-0000-0000-000046140000}"/>
    <cellStyle name="Input 9 5" xfId="5119" xr:uid="{00000000-0005-0000-0000-000047140000}"/>
    <cellStyle name="Input 9 6" xfId="5120" xr:uid="{00000000-0005-0000-0000-000048140000}"/>
    <cellStyle name="Input Cell" xfId="5121" xr:uid="{00000000-0005-0000-0000-000049140000}"/>
    <cellStyle name="Input Cell 2" xfId="5122" xr:uid="{00000000-0005-0000-0000-00004A140000}"/>
    <cellStyle name="Input Cell 2 2" xfId="5123" xr:uid="{00000000-0005-0000-0000-00004B140000}"/>
    <cellStyle name="Input Cell 2 3" xfId="5124" xr:uid="{00000000-0005-0000-0000-00004C140000}"/>
    <cellStyle name="Input Cell 3" xfId="5125" xr:uid="{00000000-0005-0000-0000-00004D140000}"/>
    <cellStyle name="Input Cell 4" xfId="5126" xr:uid="{00000000-0005-0000-0000-00004E140000}"/>
    <cellStyle name="Input Cell 5" xfId="5127" xr:uid="{00000000-0005-0000-0000-00004F140000}"/>
    <cellStyle name="Input Cell 6" xfId="5128" xr:uid="{00000000-0005-0000-0000-000050140000}"/>
    <cellStyle name="InputBlueFont" xfId="5129" xr:uid="{00000000-0005-0000-0000-000051140000}"/>
    <cellStyle name="Insatisfaisant 2" xfId="8" xr:uid="{00000000-0005-0000-0000-000052140000}"/>
    <cellStyle name="Insatisfaisant 2 2" xfId="5130" xr:uid="{00000000-0005-0000-0000-000053140000}"/>
    <cellStyle name="Insatisfaisant 3" xfId="5131" xr:uid="{00000000-0005-0000-0000-000054140000}"/>
    <cellStyle name="Insatisfaisant 3 2" xfId="5132" xr:uid="{00000000-0005-0000-0000-000055140000}"/>
    <cellStyle name="Insatisfaisant 4" xfId="5133" xr:uid="{00000000-0005-0000-0000-000056140000}"/>
    <cellStyle name="Insatisfaisant 4 2" xfId="5134" xr:uid="{00000000-0005-0000-0000-000057140000}"/>
    <cellStyle name="Insatisfaisant 4 3" xfId="5135" xr:uid="{00000000-0005-0000-0000-000058140000}"/>
    <cellStyle name="Insatisfaisant 5" xfId="5136" xr:uid="{00000000-0005-0000-0000-000059140000}"/>
    <cellStyle name="Instructions" xfId="5137" xr:uid="{00000000-0005-0000-0000-00005A140000}"/>
    <cellStyle name="Įspėjimo tekstas" xfId="5138" xr:uid="{00000000-0005-0000-0000-00005B140000}"/>
    <cellStyle name="Išvestis" xfId="5139" xr:uid="{00000000-0005-0000-0000-00005C140000}"/>
    <cellStyle name="Išvestis 10" xfId="5140" xr:uid="{00000000-0005-0000-0000-00005D140000}"/>
    <cellStyle name="Išvestis 10 2" xfId="5141" xr:uid="{00000000-0005-0000-0000-00005E140000}"/>
    <cellStyle name="Išvestis 10 2 2" xfId="5142" xr:uid="{00000000-0005-0000-0000-00005F140000}"/>
    <cellStyle name="Išvestis 10 2 3" xfId="5143" xr:uid="{00000000-0005-0000-0000-000060140000}"/>
    <cellStyle name="Išvestis 10 2 4" xfId="5144" xr:uid="{00000000-0005-0000-0000-000061140000}"/>
    <cellStyle name="Išvestis 10 2 5" xfId="5145" xr:uid="{00000000-0005-0000-0000-000062140000}"/>
    <cellStyle name="Išvestis 10 3" xfId="5146" xr:uid="{00000000-0005-0000-0000-000063140000}"/>
    <cellStyle name="Išvestis 10 4" xfId="5147" xr:uid="{00000000-0005-0000-0000-000064140000}"/>
    <cellStyle name="Išvestis 10 5" xfId="5148" xr:uid="{00000000-0005-0000-0000-000065140000}"/>
    <cellStyle name="Išvestis 10 6" xfId="5149" xr:uid="{00000000-0005-0000-0000-000066140000}"/>
    <cellStyle name="Išvestis 11" xfId="5150" xr:uid="{00000000-0005-0000-0000-000067140000}"/>
    <cellStyle name="Išvestis 11 2" xfId="5151" xr:uid="{00000000-0005-0000-0000-000068140000}"/>
    <cellStyle name="Išvestis 11 2 2" xfId="5152" xr:uid="{00000000-0005-0000-0000-000069140000}"/>
    <cellStyle name="Išvestis 11 2 3" xfId="5153" xr:uid="{00000000-0005-0000-0000-00006A140000}"/>
    <cellStyle name="Išvestis 11 2 4" xfId="5154" xr:uid="{00000000-0005-0000-0000-00006B140000}"/>
    <cellStyle name="Išvestis 11 2 5" xfId="5155" xr:uid="{00000000-0005-0000-0000-00006C140000}"/>
    <cellStyle name="Išvestis 11 3" xfId="5156" xr:uid="{00000000-0005-0000-0000-00006D140000}"/>
    <cellStyle name="Išvestis 11 4" xfId="5157" xr:uid="{00000000-0005-0000-0000-00006E140000}"/>
    <cellStyle name="Išvestis 11 5" xfId="5158" xr:uid="{00000000-0005-0000-0000-00006F140000}"/>
    <cellStyle name="Išvestis 11 6" xfId="5159" xr:uid="{00000000-0005-0000-0000-000070140000}"/>
    <cellStyle name="Išvestis 12" xfId="5160" xr:uid="{00000000-0005-0000-0000-000071140000}"/>
    <cellStyle name="Išvestis 12 2" xfId="5161" xr:uid="{00000000-0005-0000-0000-000072140000}"/>
    <cellStyle name="Išvestis 12 2 2" xfId="5162" xr:uid="{00000000-0005-0000-0000-000073140000}"/>
    <cellStyle name="Išvestis 12 2 3" xfId="5163" xr:uid="{00000000-0005-0000-0000-000074140000}"/>
    <cellStyle name="Išvestis 12 2 4" xfId="5164" xr:uid="{00000000-0005-0000-0000-000075140000}"/>
    <cellStyle name="Išvestis 12 2 5" xfId="5165" xr:uid="{00000000-0005-0000-0000-000076140000}"/>
    <cellStyle name="Išvestis 12 3" xfId="5166" xr:uid="{00000000-0005-0000-0000-000077140000}"/>
    <cellStyle name="Išvestis 12 4" xfId="5167" xr:uid="{00000000-0005-0000-0000-000078140000}"/>
    <cellStyle name="Išvestis 12 5" xfId="5168" xr:uid="{00000000-0005-0000-0000-000079140000}"/>
    <cellStyle name="Išvestis 12 6" xfId="5169" xr:uid="{00000000-0005-0000-0000-00007A140000}"/>
    <cellStyle name="Išvestis 13" xfId="5170" xr:uid="{00000000-0005-0000-0000-00007B140000}"/>
    <cellStyle name="Išvestis 13 2" xfId="5171" xr:uid="{00000000-0005-0000-0000-00007C140000}"/>
    <cellStyle name="Išvestis 13 2 2" xfId="5172" xr:uid="{00000000-0005-0000-0000-00007D140000}"/>
    <cellStyle name="Išvestis 13 2 3" xfId="5173" xr:uid="{00000000-0005-0000-0000-00007E140000}"/>
    <cellStyle name="Išvestis 13 2 4" xfId="5174" xr:uid="{00000000-0005-0000-0000-00007F140000}"/>
    <cellStyle name="Išvestis 13 2 5" xfId="5175" xr:uid="{00000000-0005-0000-0000-000080140000}"/>
    <cellStyle name="Išvestis 13 3" xfId="5176" xr:uid="{00000000-0005-0000-0000-000081140000}"/>
    <cellStyle name="Išvestis 13 4" xfId="5177" xr:uid="{00000000-0005-0000-0000-000082140000}"/>
    <cellStyle name="Išvestis 13 5" xfId="5178" xr:uid="{00000000-0005-0000-0000-000083140000}"/>
    <cellStyle name="Išvestis 13 6" xfId="5179" xr:uid="{00000000-0005-0000-0000-000084140000}"/>
    <cellStyle name="Išvestis 14" xfId="5180" xr:uid="{00000000-0005-0000-0000-000085140000}"/>
    <cellStyle name="Išvestis 14 2" xfId="5181" xr:uid="{00000000-0005-0000-0000-000086140000}"/>
    <cellStyle name="Išvestis 14 2 2" xfId="5182" xr:uid="{00000000-0005-0000-0000-000087140000}"/>
    <cellStyle name="Išvestis 14 2 3" xfId="5183" xr:uid="{00000000-0005-0000-0000-000088140000}"/>
    <cellStyle name="Išvestis 14 2 4" xfId="5184" xr:uid="{00000000-0005-0000-0000-000089140000}"/>
    <cellStyle name="Išvestis 14 2 5" xfId="5185" xr:uid="{00000000-0005-0000-0000-00008A140000}"/>
    <cellStyle name="Išvestis 14 3" xfId="5186" xr:uid="{00000000-0005-0000-0000-00008B140000}"/>
    <cellStyle name="Išvestis 14 4" xfId="5187" xr:uid="{00000000-0005-0000-0000-00008C140000}"/>
    <cellStyle name="Išvestis 14 5" xfId="5188" xr:uid="{00000000-0005-0000-0000-00008D140000}"/>
    <cellStyle name="Išvestis 14 6" xfId="5189" xr:uid="{00000000-0005-0000-0000-00008E140000}"/>
    <cellStyle name="Išvestis 15" xfId="5190" xr:uid="{00000000-0005-0000-0000-00008F140000}"/>
    <cellStyle name="Išvestis 15 2" xfId="5191" xr:uid="{00000000-0005-0000-0000-000090140000}"/>
    <cellStyle name="Išvestis 15 2 2" xfId="5192" xr:uid="{00000000-0005-0000-0000-000091140000}"/>
    <cellStyle name="Išvestis 15 2 3" xfId="5193" xr:uid="{00000000-0005-0000-0000-000092140000}"/>
    <cellStyle name="Išvestis 15 2 4" xfId="5194" xr:uid="{00000000-0005-0000-0000-000093140000}"/>
    <cellStyle name="Išvestis 15 2 5" xfId="5195" xr:uid="{00000000-0005-0000-0000-000094140000}"/>
    <cellStyle name="Išvestis 15 3" xfId="5196" xr:uid="{00000000-0005-0000-0000-000095140000}"/>
    <cellStyle name="Išvestis 15 4" xfId="5197" xr:uid="{00000000-0005-0000-0000-000096140000}"/>
    <cellStyle name="Išvestis 15 5" xfId="5198" xr:uid="{00000000-0005-0000-0000-000097140000}"/>
    <cellStyle name="Išvestis 15 6" xfId="5199" xr:uid="{00000000-0005-0000-0000-000098140000}"/>
    <cellStyle name="Išvestis 16" xfId="5200" xr:uid="{00000000-0005-0000-0000-000099140000}"/>
    <cellStyle name="Išvestis 17" xfId="5201" xr:uid="{00000000-0005-0000-0000-00009A140000}"/>
    <cellStyle name="Išvestis 18" xfId="5202" xr:uid="{00000000-0005-0000-0000-00009B140000}"/>
    <cellStyle name="Išvestis 19" xfId="5203" xr:uid="{00000000-0005-0000-0000-00009C140000}"/>
    <cellStyle name="Išvestis 2" xfId="5204" xr:uid="{00000000-0005-0000-0000-00009D140000}"/>
    <cellStyle name="Išvestis 2 2" xfId="5205" xr:uid="{00000000-0005-0000-0000-00009E140000}"/>
    <cellStyle name="Išvestis 2 2 2" xfId="5206" xr:uid="{00000000-0005-0000-0000-00009F140000}"/>
    <cellStyle name="Išvestis 2 2 3" xfId="5207" xr:uid="{00000000-0005-0000-0000-0000A0140000}"/>
    <cellStyle name="Išvestis 2 2 4" xfId="5208" xr:uid="{00000000-0005-0000-0000-0000A1140000}"/>
    <cellStyle name="Išvestis 2 2 5" xfId="5209" xr:uid="{00000000-0005-0000-0000-0000A2140000}"/>
    <cellStyle name="Išvestis 2 3" xfId="5210" xr:uid="{00000000-0005-0000-0000-0000A3140000}"/>
    <cellStyle name="Išvestis 2 4" xfId="5211" xr:uid="{00000000-0005-0000-0000-0000A4140000}"/>
    <cellStyle name="Išvestis 2 5" xfId="5212" xr:uid="{00000000-0005-0000-0000-0000A5140000}"/>
    <cellStyle name="Išvestis 2 6" xfId="5213" xr:uid="{00000000-0005-0000-0000-0000A6140000}"/>
    <cellStyle name="Išvestis 3" xfId="5214" xr:uid="{00000000-0005-0000-0000-0000A7140000}"/>
    <cellStyle name="Išvestis 3 2" xfId="5215" xr:uid="{00000000-0005-0000-0000-0000A8140000}"/>
    <cellStyle name="Išvestis 3 2 2" xfId="5216" xr:uid="{00000000-0005-0000-0000-0000A9140000}"/>
    <cellStyle name="Išvestis 3 2 3" xfId="5217" xr:uid="{00000000-0005-0000-0000-0000AA140000}"/>
    <cellStyle name="Išvestis 3 2 4" xfId="5218" xr:uid="{00000000-0005-0000-0000-0000AB140000}"/>
    <cellStyle name="Išvestis 3 2 5" xfId="5219" xr:uid="{00000000-0005-0000-0000-0000AC140000}"/>
    <cellStyle name="Išvestis 3 3" xfId="5220" xr:uid="{00000000-0005-0000-0000-0000AD140000}"/>
    <cellStyle name="Išvestis 3 4" xfId="5221" xr:uid="{00000000-0005-0000-0000-0000AE140000}"/>
    <cellStyle name="Išvestis 3 5" xfId="5222" xr:uid="{00000000-0005-0000-0000-0000AF140000}"/>
    <cellStyle name="Išvestis 3 6" xfId="5223" xr:uid="{00000000-0005-0000-0000-0000B0140000}"/>
    <cellStyle name="Išvestis 4" xfId="5224" xr:uid="{00000000-0005-0000-0000-0000B1140000}"/>
    <cellStyle name="Išvestis 4 2" xfId="5225" xr:uid="{00000000-0005-0000-0000-0000B2140000}"/>
    <cellStyle name="Išvestis 4 2 2" xfId="5226" xr:uid="{00000000-0005-0000-0000-0000B3140000}"/>
    <cellStyle name="Išvestis 4 2 3" xfId="5227" xr:uid="{00000000-0005-0000-0000-0000B4140000}"/>
    <cellStyle name="Išvestis 4 2 4" xfId="5228" xr:uid="{00000000-0005-0000-0000-0000B5140000}"/>
    <cellStyle name="Išvestis 4 2 5" xfId="5229" xr:uid="{00000000-0005-0000-0000-0000B6140000}"/>
    <cellStyle name="Išvestis 4 3" xfId="5230" xr:uid="{00000000-0005-0000-0000-0000B7140000}"/>
    <cellStyle name="Išvestis 4 4" xfId="5231" xr:uid="{00000000-0005-0000-0000-0000B8140000}"/>
    <cellStyle name="Išvestis 4 5" xfId="5232" xr:uid="{00000000-0005-0000-0000-0000B9140000}"/>
    <cellStyle name="Išvestis 4 6" xfId="5233" xr:uid="{00000000-0005-0000-0000-0000BA140000}"/>
    <cellStyle name="Išvestis 5" xfId="5234" xr:uid="{00000000-0005-0000-0000-0000BB140000}"/>
    <cellStyle name="Išvestis 5 2" xfId="5235" xr:uid="{00000000-0005-0000-0000-0000BC140000}"/>
    <cellStyle name="Išvestis 5 2 2" xfId="5236" xr:uid="{00000000-0005-0000-0000-0000BD140000}"/>
    <cellStyle name="Išvestis 5 2 3" xfId="5237" xr:uid="{00000000-0005-0000-0000-0000BE140000}"/>
    <cellStyle name="Išvestis 5 2 4" xfId="5238" xr:uid="{00000000-0005-0000-0000-0000BF140000}"/>
    <cellStyle name="Išvestis 5 2 5" xfId="5239" xr:uid="{00000000-0005-0000-0000-0000C0140000}"/>
    <cellStyle name="Išvestis 5 3" xfId="5240" xr:uid="{00000000-0005-0000-0000-0000C1140000}"/>
    <cellStyle name="Išvestis 5 4" xfId="5241" xr:uid="{00000000-0005-0000-0000-0000C2140000}"/>
    <cellStyle name="Išvestis 5 5" xfId="5242" xr:uid="{00000000-0005-0000-0000-0000C3140000}"/>
    <cellStyle name="Išvestis 5 6" xfId="5243" xr:uid="{00000000-0005-0000-0000-0000C4140000}"/>
    <cellStyle name="Išvestis 6" xfId="5244" xr:uid="{00000000-0005-0000-0000-0000C5140000}"/>
    <cellStyle name="Išvestis 6 2" xfId="5245" xr:uid="{00000000-0005-0000-0000-0000C6140000}"/>
    <cellStyle name="Išvestis 6 2 2" xfId="5246" xr:uid="{00000000-0005-0000-0000-0000C7140000}"/>
    <cellStyle name="Išvestis 6 2 3" xfId="5247" xr:uid="{00000000-0005-0000-0000-0000C8140000}"/>
    <cellStyle name="Išvestis 6 2 4" xfId="5248" xr:uid="{00000000-0005-0000-0000-0000C9140000}"/>
    <cellStyle name="Išvestis 6 2 5" xfId="5249" xr:uid="{00000000-0005-0000-0000-0000CA140000}"/>
    <cellStyle name="Išvestis 6 3" xfId="5250" xr:uid="{00000000-0005-0000-0000-0000CB140000}"/>
    <cellStyle name="Išvestis 6 4" xfId="5251" xr:uid="{00000000-0005-0000-0000-0000CC140000}"/>
    <cellStyle name="Išvestis 6 5" xfId="5252" xr:uid="{00000000-0005-0000-0000-0000CD140000}"/>
    <cellStyle name="Išvestis 6 6" xfId="5253" xr:uid="{00000000-0005-0000-0000-0000CE140000}"/>
    <cellStyle name="Išvestis 7" xfId="5254" xr:uid="{00000000-0005-0000-0000-0000CF140000}"/>
    <cellStyle name="Išvestis 7 2" xfId="5255" xr:uid="{00000000-0005-0000-0000-0000D0140000}"/>
    <cellStyle name="Išvestis 7 2 2" xfId="5256" xr:uid="{00000000-0005-0000-0000-0000D1140000}"/>
    <cellStyle name="Išvestis 7 2 3" xfId="5257" xr:uid="{00000000-0005-0000-0000-0000D2140000}"/>
    <cellStyle name="Išvestis 7 2 4" xfId="5258" xr:uid="{00000000-0005-0000-0000-0000D3140000}"/>
    <cellStyle name="Išvestis 7 2 5" xfId="5259" xr:uid="{00000000-0005-0000-0000-0000D4140000}"/>
    <cellStyle name="Išvestis 7 3" xfId="5260" xr:uid="{00000000-0005-0000-0000-0000D5140000}"/>
    <cellStyle name="Išvestis 7 4" xfId="5261" xr:uid="{00000000-0005-0000-0000-0000D6140000}"/>
    <cellStyle name="Išvestis 7 5" xfId="5262" xr:uid="{00000000-0005-0000-0000-0000D7140000}"/>
    <cellStyle name="Išvestis 7 6" xfId="5263" xr:uid="{00000000-0005-0000-0000-0000D8140000}"/>
    <cellStyle name="Išvestis 8" xfId="5264" xr:uid="{00000000-0005-0000-0000-0000D9140000}"/>
    <cellStyle name="Išvestis 8 2" xfId="5265" xr:uid="{00000000-0005-0000-0000-0000DA140000}"/>
    <cellStyle name="Išvestis 8 2 2" xfId="5266" xr:uid="{00000000-0005-0000-0000-0000DB140000}"/>
    <cellStyle name="Išvestis 8 2 3" xfId="5267" xr:uid="{00000000-0005-0000-0000-0000DC140000}"/>
    <cellStyle name="Išvestis 8 2 4" xfId="5268" xr:uid="{00000000-0005-0000-0000-0000DD140000}"/>
    <cellStyle name="Išvestis 8 2 5" xfId="5269" xr:uid="{00000000-0005-0000-0000-0000DE140000}"/>
    <cellStyle name="Išvestis 8 3" xfId="5270" xr:uid="{00000000-0005-0000-0000-0000DF140000}"/>
    <cellStyle name="Išvestis 8 4" xfId="5271" xr:uid="{00000000-0005-0000-0000-0000E0140000}"/>
    <cellStyle name="Išvestis 8 5" xfId="5272" xr:uid="{00000000-0005-0000-0000-0000E1140000}"/>
    <cellStyle name="Išvestis 8 6" xfId="5273" xr:uid="{00000000-0005-0000-0000-0000E2140000}"/>
    <cellStyle name="Išvestis 9" xfId="5274" xr:uid="{00000000-0005-0000-0000-0000E3140000}"/>
    <cellStyle name="Išvestis 9 2" xfId="5275" xr:uid="{00000000-0005-0000-0000-0000E4140000}"/>
    <cellStyle name="Išvestis 9 2 2" xfId="5276" xr:uid="{00000000-0005-0000-0000-0000E5140000}"/>
    <cellStyle name="Išvestis 9 2 3" xfId="5277" xr:uid="{00000000-0005-0000-0000-0000E6140000}"/>
    <cellStyle name="Išvestis 9 2 4" xfId="5278" xr:uid="{00000000-0005-0000-0000-0000E7140000}"/>
    <cellStyle name="Išvestis 9 2 5" xfId="5279" xr:uid="{00000000-0005-0000-0000-0000E8140000}"/>
    <cellStyle name="Išvestis 9 3" xfId="5280" xr:uid="{00000000-0005-0000-0000-0000E9140000}"/>
    <cellStyle name="Išvestis 9 4" xfId="5281" xr:uid="{00000000-0005-0000-0000-0000EA140000}"/>
    <cellStyle name="Išvestis 9 5" xfId="5282" xr:uid="{00000000-0005-0000-0000-0000EB140000}"/>
    <cellStyle name="Išvestis 9 6" xfId="5283" xr:uid="{00000000-0005-0000-0000-0000EC140000}"/>
    <cellStyle name="Išvestis_KTR An-Abflug" xfId="14876" xr:uid="{00000000-0005-0000-0000-0000ED140000}"/>
    <cellStyle name="Įvestis" xfId="5284" xr:uid="{00000000-0005-0000-0000-0000EE140000}"/>
    <cellStyle name="Įvestis 10" xfId="5285" xr:uid="{00000000-0005-0000-0000-0000EF140000}"/>
    <cellStyle name="Įvestis 10 2" xfId="5286" xr:uid="{00000000-0005-0000-0000-0000F0140000}"/>
    <cellStyle name="Įvestis 10 2 2" xfId="5287" xr:uid="{00000000-0005-0000-0000-0000F1140000}"/>
    <cellStyle name="Įvestis 10 2 3" xfId="5288" xr:uid="{00000000-0005-0000-0000-0000F2140000}"/>
    <cellStyle name="Įvestis 10 2 4" xfId="5289" xr:uid="{00000000-0005-0000-0000-0000F3140000}"/>
    <cellStyle name="Įvestis 10 2 5" xfId="5290" xr:uid="{00000000-0005-0000-0000-0000F4140000}"/>
    <cellStyle name="Įvestis 10 3" xfId="5291" xr:uid="{00000000-0005-0000-0000-0000F5140000}"/>
    <cellStyle name="Įvestis 10 4" xfId="5292" xr:uid="{00000000-0005-0000-0000-0000F6140000}"/>
    <cellStyle name="Įvestis 10 5" xfId="5293" xr:uid="{00000000-0005-0000-0000-0000F7140000}"/>
    <cellStyle name="Įvestis 10 6" xfId="5294" xr:uid="{00000000-0005-0000-0000-0000F8140000}"/>
    <cellStyle name="Įvestis 11" xfId="5295" xr:uid="{00000000-0005-0000-0000-0000F9140000}"/>
    <cellStyle name="Įvestis 11 2" xfId="5296" xr:uid="{00000000-0005-0000-0000-0000FA140000}"/>
    <cellStyle name="Įvestis 11 2 2" xfId="5297" xr:uid="{00000000-0005-0000-0000-0000FB140000}"/>
    <cellStyle name="Įvestis 11 2 3" xfId="5298" xr:uid="{00000000-0005-0000-0000-0000FC140000}"/>
    <cellStyle name="Įvestis 11 2 4" xfId="5299" xr:uid="{00000000-0005-0000-0000-0000FD140000}"/>
    <cellStyle name="Įvestis 11 2 5" xfId="5300" xr:uid="{00000000-0005-0000-0000-0000FE140000}"/>
    <cellStyle name="Įvestis 11 3" xfId="5301" xr:uid="{00000000-0005-0000-0000-0000FF140000}"/>
    <cellStyle name="Įvestis 11 4" xfId="5302" xr:uid="{00000000-0005-0000-0000-000000150000}"/>
    <cellStyle name="Įvestis 11 5" xfId="5303" xr:uid="{00000000-0005-0000-0000-000001150000}"/>
    <cellStyle name="Įvestis 11 6" xfId="5304" xr:uid="{00000000-0005-0000-0000-000002150000}"/>
    <cellStyle name="Įvestis 12" xfId="5305" xr:uid="{00000000-0005-0000-0000-000003150000}"/>
    <cellStyle name="Įvestis 12 2" xfId="5306" xr:uid="{00000000-0005-0000-0000-000004150000}"/>
    <cellStyle name="Įvestis 12 2 2" xfId="5307" xr:uid="{00000000-0005-0000-0000-000005150000}"/>
    <cellStyle name="Įvestis 12 2 3" xfId="5308" xr:uid="{00000000-0005-0000-0000-000006150000}"/>
    <cellStyle name="Įvestis 12 2 4" xfId="5309" xr:uid="{00000000-0005-0000-0000-000007150000}"/>
    <cellStyle name="Įvestis 12 2 5" xfId="5310" xr:uid="{00000000-0005-0000-0000-000008150000}"/>
    <cellStyle name="Įvestis 12 3" xfId="5311" xr:uid="{00000000-0005-0000-0000-000009150000}"/>
    <cellStyle name="Įvestis 12 4" xfId="5312" xr:uid="{00000000-0005-0000-0000-00000A150000}"/>
    <cellStyle name="Įvestis 12 5" xfId="5313" xr:uid="{00000000-0005-0000-0000-00000B150000}"/>
    <cellStyle name="Įvestis 12 6" xfId="5314" xr:uid="{00000000-0005-0000-0000-00000C150000}"/>
    <cellStyle name="Įvestis 13" xfId="5315" xr:uid="{00000000-0005-0000-0000-00000D150000}"/>
    <cellStyle name="Įvestis 13 2" xfId="5316" xr:uid="{00000000-0005-0000-0000-00000E150000}"/>
    <cellStyle name="Įvestis 13 2 2" xfId="5317" xr:uid="{00000000-0005-0000-0000-00000F150000}"/>
    <cellStyle name="Įvestis 13 2 3" xfId="5318" xr:uid="{00000000-0005-0000-0000-000010150000}"/>
    <cellStyle name="Įvestis 13 2 4" xfId="5319" xr:uid="{00000000-0005-0000-0000-000011150000}"/>
    <cellStyle name="Įvestis 13 2 5" xfId="5320" xr:uid="{00000000-0005-0000-0000-000012150000}"/>
    <cellStyle name="Įvestis 13 3" xfId="5321" xr:uid="{00000000-0005-0000-0000-000013150000}"/>
    <cellStyle name="Įvestis 13 4" xfId="5322" xr:uid="{00000000-0005-0000-0000-000014150000}"/>
    <cellStyle name="Įvestis 13 5" xfId="5323" xr:uid="{00000000-0005-0000-0000-000015150000}"/>
    <cellStyle name="Įvestis 13 6" xfId="5324" xr:uid="{00000000-0005-0000-0000-000016150000}"/>
    <cellStyle name="Įvestis 14" xfId="5325" xr:uid="{00000000-0005-0000-0000-000017150000}"/>
    <cellStyle name="Įvestis 14 2" xfId="5326" xr:uid="{00000000-0005-0000-0000-000018150000}"/>
    <cellStyle name="Įvestis 14 2 2" xfId="5327" xr:uid="{00000000-0005-0000-0000-000019150000}"/>
    <cellStyle name="Įvestis 14 2 3" xfId="5328" xr:uid="{00000000-0005-0000-0000-00001A150000}"/>
    <cellStyle name="Įvestis 14 2 4" xfId="5329" xr:uid="{00000000-0005-0000-0000-00001B150000}"/>
    <cellStyle name="Įvestis 14 2 5" xfId="5330" xr:uid="{00000000-0005-0000-0000-00001C150000}"/>
    <cellStyle name="Įvestis 14 3" xfId="5331" xr:uid="{00000000-0005-0000-0000-00001D150000}"/>
    <cellStyle name="Įvestis 14 4" xfId="5332" xr:uid="{00000000-0005-0000-0000-00001E150000}"/>
    <cellStyle name="Įvestis 14 5" xfId="5333" xr:uid="{00000000-0005-0000-0000-00001F150000}"/>
    <cellStyle name="Įvestis 14 6" xfId="5334" xr:uid="{00000000-0005-0000-0000-000020150000}"/>
    <cellStyle name="Įvestis 15" xfId="5335" xr:uid="{00000000-0005-0000-0000-000021150000}"/>
    <cellStyle name="Įvestis 15 2" xfId="5336" xr:uid="{00000000-0005-0000-0000-000022150000}"/>
    <cellStyle name="Įvestis 15 2 2" xfId="5337" xr:uid="{00000000-0005-0000-0000-000023150000}"/>
    <cellStyle name="Įvestis 15 2 3" xfId="5338" xr:uid="{00000000-0005-0000-0000-000024150000}"/>
    <cellStyle name="Įvestis 15 2 4" xfId="5339" xr:uid="{00000000-0005-0000-0000-000025150000}"/>
    <cellStyle name="Įvestis 15 2 5" xfId="5340" xr:uid="{00000000-0005-0000-0000-000026150000}"/>
    <cellStyle name="Įvestis 15 3" xfId="5341" xr:uid="{00000000-0005-0000-0000-000027150000}"/>
    <cellStyle name="Įvestis 15 4" xfId="5342" xr:uid="{00000000-0005-0000-0000-000028150000}"/>
    <cellStyle name="Įvestis 15 5" xfId="5343" xr:uid="{00000000-0005-0000-0000-000029150000}"/>
    <cellStyle name="Įvestis 15 6" xfId="5344" xr:uid="{00000000-0005-0000-0000-00002A150000}"/>
    <cellStyle name="Įvestis 16" xfId="5345" xr:uid="{00000000-0005-0000-0000-00002B150000}"/>
    <cellStyle name="Įvestis 16 2" xfId="5346" xr:uid="{00000000-0005-0000-0000-00002C150000}"/>
    <cellStyle name="Įvestis 16 2 2" xfId="5347" xr:uid="{00000000-0005-0000-0000-00002D150000}"/>
    <cellStyle name="Įvestis 16 2 3" xfId="5348" xr:uid="{00000000-0005-0000-0000-00002E150000}"/>
    <cellStyle name="Įvestis 16 2 4" xfId="5349" xr:uid="{00000000-0005-0000-0000-00002F150000}"/>
    <cellStyle name="Įvestis 16 2 5" xfId="5350" xr:uid="{00000000-0005-0000-0000-000030150000}"/>
    <cellStyle name="Įvestis 16 3" xfId="5351" xr:uid="{00000000-0005-0000-0000-000031150000}"/>
    <cellStyle name="Įvestis 16 4" xfId="5352" xr:uid="{00000000-0005-0000-0000-000032150000}"/>
    <cellStyle name="Įvestis 16 5" xfId="5353" xr:uid="{00000000-0005-0000-0000-000033150000}"/>
    <cellStyle name="Įvestis 16 6" xfId="5354" xr:uid="{00000000-0005-0000-0000-000034150000}"/>
    <cellStyle name="Įvestis 17" xfId="5355" xr:uid="{00000000-0005-0000-0000-000035150000}"/>
    <cellStyle name="Įvestis 17 2" xfId="5356" xr:uid="{00000000-0005-0000-0000-000036150000}"/>
    <cellStyle name="Įvestis 17 2 2" xfId="5357" xr:uid="{00000000-0005-0000-0000-000037150000}"/>
    <cellStyle name="Įvestis 17 2 3" xfId="5358" xr:uid="{00000000-0005-0000-0000-000038150000}"/>
    <cellStyle name="Įvestis 17 2 4" xfId="5359" xr:uid="{00000000-0005-0000-0000-000039150000}"/>
    <cellStyle name="Įvestis 17 2 5" xfId="5360" xr:uid="{00000000-0005-0000-0000-00003A150000}"/>
    <cellStyle name="Įvestis 17 3" xfId="5361" xr:uid="{00000000-0005-0000-0000-00003B150000}"/>
    <cellStyle name="Įvestis 17 4" xfId="5362" xr:uid="{00000000-0005-0000-0000-00003C150000}"/>
    <cellStyle name="Įvestis 17 5" xfId="5363" xr:uid="{00000000-0005-0000-0000-00003D150000}"/>
    <cellStyle name="Įvestis 17 6" xfId="5364" xr:uid="{00000000-0005-0000-0000-00003E150000}"/>
    <cellStyle name="Įvestis 18" xfId="5365" xr:uid="{00000000-0005-0000-0000-00003F150000}"/>
    <cellStyle name="Įvestis 18 2" xfId="5366" xr:uid="{00000000-0005-0000-0000-000040150000}"/>
    <cellStyle name="Įvestis 18 2 2" xfId="5367" xr:uid="{00000000-0005-0000-0000-000041150000}"/>
    <cellStyle name="Įvestis 18 2 3" xfId="5368" xr:uid="{00000000-0005-0000-0000-000042150000}"/>
    <cellStyle name="Įvestis 18 2 4" xfId="5369" xr:uid="{00000000-0005-0000-0000-000043150000}"/>
    <cellStyle name="Įvestis 18 2 5" xfId="5370" xr:uid="{00000000-0005-0000-0000-000044150000}"/>
    <cellStyle name="Įvestis 18 3" xfId="5371" xr:uid="{00000000-0005-0000-0000-000045150000}"/>
    <cellStyle name="Įvestis 18 4" xfId="5372" xr:uid="{00000000-0005-0000-0000-000046150000}"/>
    <cellStyle name="Įvestis 18 5" xfId="5373" xr:uid="{00000000-0005-0000-0000-000047150000}"/>
    <cellStyle name="Įvestis 18 6" xfId="5374" xr:uid="{00000000-0005-0000-0000-000048150000}"/>
    <cellStyle name="Įvestis 19" xfId="5375" xr:uid="{00000000-0005-0000-0000-000049150000}"/>
    <cellStyle name="Įvestis 19 2" xfId="5376" xr:uid="{00000000-0005-0000-0000-00004A150000}"/>
    <cellStyle name="Įvestis 19 3" xfId="5377" xr:uid="{00000000-0005-0000-0000-00004B150000}"/>
    <cellStyle name="Įvestis 19 4" xfId="5378" xr:uid="{00000000-0005-0000-0000-00004C150000}"/>
    <cellStyle name="Įvestis 19 5" xfId="5379" xr:uid="{00000000-0005-0000-0000-00004D150000}"/>
    <cellStyle name="Įvestis 2" xfId="5380" xr:uid="{00000000-0005-0000-0000-00004E150000}"/>
    <cellStyle name="Įvestis 2 2" xfId="5381" xr:uid="{00000000-0005-0000-0000-00004F150000}"/>
    <cellStyle name="Įvestis 2 2 2" xfId="5382" xr:uid="{00000000-0005-0000-0000-000050150000}"/>
    <cellStyle name="Įvestis 2 2 3" xfId="5383" xr:uid="{00000000-0005-0000-0000-000051150000}"/>
    <cellStyle name="Įvestis 2 2 4" xfId="5384" xr:uid="{00000000-0005-0000-0000-000052150000}"/>
    <cellStyle name="Įvestis 2 2 5" xfId="5385" xr:uid="{00000000-0005-0000-0000-000053150000}"/>
    <cellStyle name="Įvestis 2 3" xfId="5386" xr:uid="{00000000-0005-0000-0000-000054150000}"/>
    <cellStyle name="Įvestis 2 4" xfId="5387" xr:uid="{00000000-0005-0000-0000-000055150000}"/>
    <cellStyle name="Įvestis 2 5" xfId="5388" xr:uid="{00000000-0005-0000-0000-000056150000}"/>
    <cellStyle name="Įvestis 2 6" xfId="5389" xr:uid="{00000000-0005-0000-0000-000057150000}"/>
    <cellStyle name="Įvestis 20" xfId="5390" xr:uid="{00000000-0005-0000-0000-000058150000}"/>
    <cellStyle name="Įvestis 21" xfId="5391" xr:uid="{00000000-0005-0000-0000-000059150000}"/>
    <cellStyle name="Įvestis 22" xfId="5392" xr:uid="{00000000-0005-0000-0000-00005A150000}"/>
    <cellStyle name="Įvestis 23" xfId="5393" xr:uid="{00000000-0005-0000-0000-00005B150000}"/>
    <cellStyle name="Įvestis 3" xfId="5394" xr:uid="{00000000-0005-0000-0000-00005C150000}"/>
    <cellStyle name="Įvestis 3 2" xfId="5395" xr:uid="{00000000-0005-0000-0000-00005D150000}"/>
    <cellStyle name="Įvestis 3 2 2" xfId="5396" xr:uid="{00000000-0005-0000-0000-00005E150000}"/>
    <cellStyle name="Įvestis 3 2 3" xfId="5397" xr:uid="{00000000-0005-0000-0000-00005F150000}"/>
    <cellStyle name="Įvestis 3 2 4" xfId="5398" xr:uid="{00000000-0005-0000-0000-000060150000}"/>
    <cellStyle name="Įvestis 3 2 5" xfId="5399" xr:uid="{00000000-0005-0000-0000-000061150000}"/>
    <cellStyle name="Įvestis 3 3" xfId="5400" xr:uid="{00000000-0005-0000-0000-000062150000}"/>
    <cellStyle name="Įvestis 3 4" xfId="5401" xr:uid="{00000000-0005-0000-0000-000063150000}"/>
    <cellStyle name="Įvestis 3 5" xfId="5402" xr:uid="{00000000-0005-0000-0000-000064150000}"/>
    <cellStyle name="Įvestis 3 6" xfId="5403" xr:uid="{00000000-0005-0000-0000-000065150000}"/>
    <cellStyle name="Įvestis 4" xfId="5404" xr:uid="{00000000-0005-0000-0000-000066150000}"/>
    <cellStyle name="Įvestis 4 2" xfId="5405" xr:uid="{00000000-0005-0000-0000-000067150000}"/>
    <cellStyle name="Įvestis 4 2 2" xfId="5406" xr:uid="{00000000-0005-0000-0000-000068150000}"/>
    <cellStyle name="Įvestis 4 2 3" xfId="5407" xr:uid="{00000000-0005-0000-0000-000069150000}"/>
    <cellStyle name="Įvestis 4 2 4" xfId="5408" xr:uid="{00000000-0005-0000-0000-00006A150000}"/>
    <cellStyle name="Įvestis 4 2 5" xfId="5409" xr:uid="{00000000-0005-0000-0000-00006B150000}"/>
    <cellStyle name="Įvestis 4 3" xfId="5410" xr:uid="{00000000-0005-0000-0000-00006C150000}"/>
    <cellStyle name="Įvestis 4 4" xfId="5411" xr:uid="{00000000-0005-0000-0000-00006D150000}"/>
    <cellStyle name="Įvestis 4 5" xfId="5412" xr:uid="{00000000-0005-0000-0000-00006E150000}"/>
    <cellStyle name="Įvestis 4 6" xfId="5413" xr:uid="{00000000-0005-0000-0000-00006F150000}"/>
    <cellStyle name="Įvestis 5" xfId="5414" xr:uid="{00000000-0005-0000-0000-000070150000}"/>
    <cellStyle name="Įvestis 5 2" xfId="5415" xr:uid="{00000000-0005-0000-0000-000071150000}"/>
    <cellStyle name="Įvestis 5 2 2" xfId="5416" xr:uid="{00000000-0005-0000-0000-000072150000}"/>
    <cellStyle name="Įvestis 5 2 3" xfId="5417" xr:uid="{00000000-0005-0000-0000-000073150000}"/>
    <cellStyle name="Įvestis 5 2 4" xfId="5418" xr:uid="{00000000-0005-0000-0000-000074150000}"/>
    <cellStyle name="Įvestis 5 2 5" xfId="5419" xr:uid="{00000000-0005-0000-0000-000075150000}"/>
    <cellStyle name="Įvestis 5 3" xfId="5420" xr:uid="{00000000-0005-0000-0000-000076150000}"/>
    <cellStyle name="Įvestis 5 4" xfId="5421" xr:uid="{00000000-0005-0000-0000-000077150000}"/>
    <cellStyle name="Įvestis 5 5" xfId="5422" xr:uid="{00000000-0005-0000-0000-000078150000}"/>
    <cellStyle name="Įvestis 5 6" xfId="5423" xr:uid="{00000000-0005-0000-0000-000079150000}"/>
    <cellStyle name="Įvestis 6" xfId="5424" xr:uid="{00000000-0005-0000-0000-00007A150000}"/>
    <cellStyle name="Įvestis 6 2" xfId="5425" xr:uid="{00000000-0005-0000-0000-00007B150000}"/>
    <cellStyle name="Įvestis 6 2 2" xfId="5426" xr:uid="{00000000-0005-0000-0000-00007C150000}"/>
    <cellStyle name="Įvestis 6 2 3" xfId="5427" xr:uid="{00000000-0005-0000-0000-00007D150000}"/>
    <cellStyle name="Įvestis 6 2 4" xfId="5428" xr:uid="{00000000-0005-0000-0000-00007E150000}"/>
    <cellStyle name="Įvestis 6 2 5" xfId="5429" xr:uid="{00000000-0005-0000-0000-00007F150000}"/>
    <cellStyle name="Įvestis 6 3" xfId="5430" xr:uid="{00000000-0005-0000-0000-000080150000}"/>
    <cellStyle name="Įvestis 6 4" xfId="5431" xr:uid="{00000000-0005-0000-0000-000081150000}"/>
    <cellStyle name="Įvestis 6 5" xfId="5432" xr:uid="{00000000-0005-0000-0000-000082150000}"/>
    <cellStyle name="Įvestis 6 6" xfId="5433" xr:uid="{00000000-0005-0000-0000-000083150000}"/>
    <cellStyle name="Įvestis 7" xfId="5434" xr:uid="{00000000-0005-0000-0000-000084150000}"/>
    <cellStyle name="Įvestis 7 2" xfId="5435" xr:uid="{00000000-0005-0000-0000-000085150000}"/>
    <cellStyle name="Įvestis 7 2 2" xfId="5436" xr:uid="{00000000-0005-0000-0000-000086150000}"/>
    <cellStyle name="Įvestis 7 2 3" xfId="5437" xr:uid="{00000000-0005-0000-0000-000087150000}"/>
    <cellStyle name="Įvestis 7 2 4" xfId="5438" xr:uid="{00000000-0005-0000-0000-000088150000}"/>
    <cellStyle name="Įvestis 7 2 5" xfId="5439" xr:uid="{00000000-0005-0000-0000-000089150000}"/>
    <cellStyle name="Įvestis 7 3" xfId="5440" xr:uid="{00000000-0005-0000-0000-00008A150000}"/>
    <cellStyle name="Įvestis 7 4" xfId="5441" xr:uid="{00000000-0005-0000-0000-00008B150000}"/>
    <cellStyle name="Įvestis 7 5" xfId="5442" xr:uid="{00000000-0005-0000-0000-00008C150000}"/>
    <cellStyle name="Įvestis 7 6" xfId="5443" xr:uid="{00000000-0005-0000-0000-00008D150000}"/>
    <cellStyle name="Įvestis 8" xfId="5444" xr:uid="{00000000-0005-0000-0000-00008E150000}"/>
    <cellStyle name="Įvestis 8 2" xfId="5445" xr:uid="{00000000-0005-0000-0000-00008F150000}"/>
    <cellStyle name="Įvestis 8 2 2" xfId="5446" xr:uid="{00000000-0005-0000-0000-000090150000}"/>
    <cellStyle name="Įvestis 8 2 3" xfId="5447" xr:uid="{00000000-0005-0000-0000-000091150000}"/>
    <cellStyle name="Įvestis 8 2 4" xfId="5448" xr:uid="{00000000-0005-0000-0000-000092150000}"/>
    <cellStyle name="Įvestis 8 2 5" xfId="5449" xr:uid="{00000000-0005-0000-0000-000093150000}"/>
    <cellStyle name="Įvestis 8 3" xfId="5450" xr:uid="{00000000-0005-0000-0000-000094150000}"/>
    <cellStyle name="Įvestis 8 4" xfId="5451" xr:uid="{00000000-0005-0000-0000-000095150000}"/>
    <cellStyle name="Įvestis 8 5" xfId="5452" xr:uid="{00000000-0005-0000-0000-000096150000}"/>
    <cellStyle name="Įvestis 8 6" xfId="5453" xr:uid="{00000000-0005-0000-0000-000097150000}"/>
    <cellStyle name="Įvestis 9" xfId="5454" xr:uid="{00000000-0005-0000-0000-000098150000}"/>
    <cellStyle name="Įvestis 9 2" xfId="5455" xr:uid="{00000000-0005-0000-0000-000099150000}"/>
    <cellStyle name="Įvestis 9 2 2" xfId="5456" xr:uid="{00000000-0005-0000-0000-00009A150000}"/>
    <cellStyle name="Įvestis 9 2 3" xfId="5457" xr:uid="{00000000-0005-0000-0000-00009B150000}"/>
    <cellStyle name="Įvestis 9 2 4" xfId="5458" xr:uid="{00000000-0005-0000-0000-00009C150000}"/>
    <cellStyle name="Įvestis 9 2 5" xfId="5459" xr:uid="{00000000-0005-0000-0000-00009D150000}"/>
    <cellStyle name="Įvestis 9 3" xfId="5460" xr:uid="{00000000-0005-0000-0000-00009E150000}"/>
    <cellStyle name="Įvestis 9 4" xfId="5461" xr:uid="{00000000-0005-0000-0000-00009F150000}"/>
    <cellStyle name="Įvestis 9 5" xfId="5462" xr:uid="{00000000-0005-0000-0000-0000A0150000}"/>
    <cellStyle name="Įvestis 9 6" xfId="5463" xr:uid="{00000000-0005-0000-0000-0000A1150000}"/>
    <cellStyle name="Įvestis_PGM_CHECK" xfId="14888" xr:uid="{00000000-0005-0000-0000-0000A2150000}"/>
    <cellStyle name="Jegyzet 2" xfId="5464" xr:uid="{00000000-0005-0000-0000-0000A3150000}"/>
    <cellStyle name="Jegyzet 2 2" xfId="5465" xr:uid="{00000000-0005-0000-0000-0000A4150000}"/>
    <cellStyle name="Jegyzet 2 3" xfId="5466" xr:uid="{00000000-0005-0000-0000-0000A5150000}"/>
    <cellStyle name="Jelölőszín (1) 2" xfId="5467" xr:uid="{00000000-0005-0000-0000-0000A6150000}"/>
    <cellStyle name="Jelölőszín (2) 2" xfId="5468" xr:uid="{00000000-0005-0000-0000-0000A7150000}"/>
    <cellStyle name="Jelölőszín (3) 2" xfId="5469" xr:uid="{00000000-0005-0000-0000-0000A8150000}"/>
    <cellStyle name="Jelölőszín (4) 2" xfId="5470" xr:uid="{00000000-0005-0000-0000-0000A9150000}"/>
    <cellStyle name="Jelölőszín (5) 2" xfId="5471" xr:uid="{00000000-0005-0000-0000-0000AA150000}"/>
    <cellStyle name="Jelölőszín (6) 2" xfId="5472" xr:uid="{00000000-0005-0000-0000-0000AB150000}"/>
    <cellStyle name="Jó 2" xfId="5473" xr:uid="{00000000-0005-0000-0000-0000AC150000}"/>
    <cellStyle name="Kimenet 2" xfId="5474" xr:uid="{00000000-0005-0000-0000-0000AD150000}"/>
    <cellStyle name="Kimenet 2 2" xfId="5475" xr:uid="{00000000-0005-0000-0000-0000AE150000}"/>
    <cellStyle name="Kimenet 2 3" xfId="5476" xr:uid="{00000000-0005-0000-0000-0000AF150000}"/>
    <cellStyle name="Koblet celle" xfId="5871" builtinId="24" customBuiltin="1"/>
    <cellStyle name="Kokku" xfId="5477" xr:uid="{00000000-0005-0000-0000-0000B0150000}"/>
    <cellStyle name="Kokku 10" xfId="5478" xr:uid="{00000000-0005-0000-0000-0000B1150000}"/>
    <cellStyle name="Kokku 10 2" xfId="5479" xr:uid="{00000000-0005-0000-0000-0000B2150000}"/>
    <cellStyle name="Kokku 10 2 2" xfId="5480" xr:uid="{00000000-0005-0000-0000-0000B3150000}"/>
    <cellStyle name="Kokku 10 2 3" xfId="5481" xr:uid="{00000000-0005-0000-0000-0000B4150000}"/>
    <cellStyle name="Kokku 10 2 4" xfId="5482" xr:uid="{00000000-0005-0000-0000-0000B5150000}"/>
    <cellStyle name="Kokku 10 2 5" xfId="5483" xr:uid="{00000000-0005-0000-0000-0000B6150000}"/>
    <cellStyle name="Kokku 10 3" xfId="5484" xr:uid="{00000000-0005-0000-0000-0000B7150000}"/>
    <cellStyle name="Kokku 10 4" xfId="5485" xr:uid="{00000000-0005-0000-0000-0000B8150000}"/>
    <cellStyle name="Kokku 10 5" xfId="5486" xr:uid="{00000000-0005-0000-0000-0000B9150000}"/>
    <cellStyle name="Kokku 10 6" xfId="5487" xr:uid="{00000000-0005-0000-0000-0000BA150000}"/>
    <cellStyle name="Kokku 11" xfId="5488" xr:uid="{00000000-0005-0000-0000-0000BB150000}"/>
    <cellStyle name="Kokku 11 2" xfId="5489" xr:uid="{00000000-0005-0000-0000-0000BC150000}"/>
    <cellStyle name="Kokku 11 2 2" xfId="5490" xr:uid="{00000000-0005-0000-0000-0000BD150000}"/>
    <cellStyle name="Kokku 11 2 3" xfId="5491" xr:uid="{00000000-0005-0000-0000-0000BE150000}"/>
    <cellStyle name="Kokku 11 2 4" xfId="5492" xr:uid="{00000000-0005-0000-0000-0000BF150000}"/>
    <cellStyle name="Kokku 11 2 5" xfId="5493" xr:uid="{00000000-0005-0000-0000-0000C0150000}"/>
    <cellStyle name="Kokku 11 3" xfId="5494" xr:uid="{00000000-0005-0000-0000-0000C1150000}"/>
    <cellStyle name="Kokku 11 4" xfId="5495" xr:uid="{00000000-0005-0000-0000-0000C2150000}"/>
    <cellStyle name="Kokku 11 5" xfId="5496" xr:uid="{00000000-0005-0000-0000-0000C3150000}"/>
    <cellStyle name="Kokku 11 6" xfId="5497" xr:uid="{00000000-0005-0000-0000-0000C4150000}"/>
    <cellStyle name="Kokku 12" xfId="5498" xr:uid="{00000000-0005-0000-0000-0000C5150000}"/>
    <cellStyle name="Kokku 12 2" xfId="5499" xr:uid="{00000000-0005-0000-0000-0000C6150000}"/>
    <cellStyle name="Kokku 12 2 2" xfId="5500" xr:uid="{00000000-0005-0000-0000-0000C7150000}"/>
    <cellStyle name="Kokku 12 2 3" xfId="5501" xr:uid="{00000000-0005-0000-0000-0000C8150000}"/>
    <cellStyle name="Kokku 12 2 4" xfId="5502" xr:uid="{00000000-0005-0000-0000-0000C9150000}"/>
    <cellStyle name="Kokku 12 2 5" xfId="5503" xr:uid="{00000000-0005-0000-0000-0000CA150000}"/>
    <cellStyle name="Kokku 12 3" xfId="5504" xr:uid="{00000000-0005-0000-0000-0000CB150000}"/>
    <cellStyle name="Kokku 12 4" xfId="5505" xr:uid="{00000000-0005-0000-0000-0000CC150000}"/>
    <cellStyle name="Kokku 12 5" xfId="5506" xr:uid="{00000000-0005-0000-0000-0000CD150000}"/>
    <cellStyle name="Kokku 12 6" xfId="5507" xr:uid="{00000000-0005-0000-0000-0000CE150000}"/>
    <cellStyle name="Kokku 13" xfId="5508" xr:uid="{00000000-0005-0000-0000-0000CF150000}"/>
    <cellStyle name="Kokku 13 2" xfId="5509" xr:uid="{00000000-0005-0000-0000-0000D0150000}"/>
    <cellStyle name="Kokku 13 2 2" xfId="5510" xr:uid="{00000000-0005-0000-0000-0000D1150000}"/>
    <cellStyle name="Kokku 13 2 3" xfId="5511" xr:uid="{00000000-0005-0000-0000-0000D2150000}"/>
    <cellStyle name="Kokku 13 2 4" xfId="5512" xr:uid="{00000000-0005-0000-0000-0000D3150000}"/>
    <cellStyle name="Kokku 13 2 5" xfId="5513" xr:uid="{00000000-0005-0000-0000-0000D4150000}"/>
    <cellStyle name="Kokku 13 3" xfId="5514" xr:uid="{00000000-0005-0000-0000-0000D5150000}"/>
    <cellStyle name="Kokku 13 4" xfId="5515" xr:uid="{00000000-0005-0000-0000-0000D6150000}"/>
    <cellStyle name="Kokku 13 5" xfId="5516" xr:uid="{00000000-0005-0000-0000-0000D7150000}"/>
    <cellStyle name="Kokku 13 6" xfId="5517" xr:uid="{00000000-0005-0000-0000-0000D8150000}"/>
    <cellStyle name="Kokku 14" xfId="5518" xr:uid="{00000000-0005-0000-0000-0000D9150000}"/>
    <cellStyle name="Kokku 14 2" xfId="5519" xr:uid="{00000000-0005-0000-0000-0000DA150000}"/>
    <cellStyle name="Kokku 14 2 2" xfId="5520" xr:uid="{00000000-0005-0000-0000-0000DB150000}"/>
    <cellStyle name="Kokku 14 2 3" xfId="5521" xr:uid="{00000000-0005-0000-0000-0000DC150000}"/>
    <cellStyle name="Kokku 14 2 4" xfId="5522" xr:uid="{00000000-0005-0000-0000-0000DD150000}"/>
    <cellStyle name="Kokku 14 2 5" xfId="5523" xr:uid="{00000000-0005-0000-0000-0000DE150000}"/>
    <cellStyle name="Kokku 14 3" xfId="5524" xr:uid="{00000000-0005-0000-0000-0000DF150000}"/>
    <cellStyle name="Kokku 14 4" xfId="5525" xr:uid="{00000000-0005-0000-0000-0000E0150000}"/>
    <cellStyle name="Kokku 14 5" xfId="5526" xr:uid="{00000000-0005-0000-0000-0000E1150000}"/>
    <cellStyle name="Kokku 14 6" xfId="5527" xr:uid="{00000000-0005-0000-0000-0000E2150000}"/>
    <cellStyle name="Kokku 15" xfId="5528" xr:uid="{00000000-0005-0000-0000-0000E3150000}"/>
    <cellStyle name="Kokku 15 2" xfId="5529" xr:uid="{00000000-0005-0000-0000-0000E4150000}"/>
    <cellStyle name="Kokku 15 2 2" xfId="5530" xr:uid="{00000000-0005-0000-0000-0000E5150000}"/>
    <cellStyle name="Kokku 15 2 3" xfId="5531" xr:uid="{00000000-0005-0000-0000-0000E6150000}"/>
    <cellStyle name="Kokku 15 2 4" xfId="5532" xr:uid="{00000000-0005-0000-0000-0000E7150000}"/>
    <cellStyle name="Kokku 15 2 5" xfId="5533" xr:uid="{00000000-0005-0000-0000-0000E8150000}"/>
    <cellStyle name="Kokku 15 3" xfId="5534" xr:uid="{00000000-0005-0000-0000-0000E9150000}"/>
    <cellStyle name="Kokku 15 4" xfId="5535" xr:uid="{00000000-0005-0000-0000-0000EA150000}"/>
    <cellStyle name="Kokku 15 5" xfId="5536" xr:uid="{00000000-0005-0000-0000-0000EB150000}"/>
    <cellStyle name="Kokku 15 6" xfId="5537" xr:uid="{00000000-0005-0000-0000-0000EC150000}"/>
    <cellStyle name="Kokku 16" xfId="5538" xr:uid="{00000000-0005-0000-0000-0000ED150000}"/>
    <cellStyle name="Kokku 16 2" xfId="5539" xr:uid="{00000000-0005-0000-0000-0000EE150000}"/>
    <cellStyle name="Kokku 16 2 2" xfId="5540" xr:uid="{00000000-0005-0000-0000-0000EF150000}"/>
    <cellStyle name="Kokku 16 2 3" xfId="5541" xr:uid="{00000000-0005-0000-0000-0000F0150000}"/>
    <cellStyle name="Kokku 16 2 4" xfId="5542" xr:uid="{00000000-0005-0000-0000-0000F1150000}"/>
    <cellStyle name="Kokku 16 2 5" xfId="5543" xr:uid="{00000000-0005-0000-0000-0000F2150000}"/>
    <cellStyle name="Kokku 16 3" xfId="5544" xr:uid="{00000000-0005-0000-0000-0000F3150000}"/>
    <cellStyle name="Kokku 16 4" xfId="5545" xr:uid="{00000000-0005-0000-0000-0000F4150000}"/>
    <cellStyle name="Kokku 16 5" xfId="5546" xr:uid="{00000000-0005-0000-0000-0000F5150000}"/>
    <cellStyle name="Kokku 16 6" xfId="5547" xr:uid="{00000000-0005-0000-0000-0000F6150000}"/>
    <cellStyle name="Kokku 17" xfId="5548" xr:uid="{00000000-0005-0000-0000-0000F7150000}"/>
    <cellStyle name="Kokku 17 2" xfId="5549" xr:uid="{00000000-0005-0000-0000-0000F8150000}"/>
    <cellStyle name="Kokku 17 2 2" xfId="5550" xr:uid="{00000000-0005-0000-0000-0000F9150000}"/>
    <cellStyle name="Kokku 17 2 3" xfId="5551" xr:uid="{00000000-0005-0000-0000-0000FA150000}"/>
    <cellStyle name="Kokku 17 2 4" xfId="5552" xr:uid="{00000000-0005-0000-0000-0000FB150000}"/>
    <cellStyle name="Kokku 17 2 5" xfId="5553" xr:uid="{00000000-0005-0000-0000-0000FC150000}"/>
    <cellStyle name="Kokku 17 3" xfId="5554" xr:uid="{00000000-0005-0000-0000-0000FD150000}"/>
    <cellStyle name="Kokku 17 4" xfId="5555" xr:uid="{00000000-0005-0000-0000-0000FE150000}"/>
    <cellStyle name="Kokku 17 5" xfId="5556" xr:uid="{00000000-0005-0000-0000-0000FF150000}"/>
    <cellStyle name="Kokku 17 6" xfId="5557" xr:uid="{00000000-0005-0000-0000-000000160000}"/>
    <cellStyle name="Kokku 18" xfId="5558" xr:uid="{00000000-0005-0000-0000-000001160000}"/>
    <cellStyle name="Kokku 18 2" xfId="5559" xr:uid="{00000000-0005-0000-0000-000002160000}"/>
    <cellStyle name="Kokku 18 3" xfId="5560" xr:uid="{00000000-0005-0000-0000-000003160000}"/>
    <cellStyle name="Kokku 18 4" xfId="5561" xr:uid="{00000000-0005-0000-0000-000004160000}"/>
    <cellStyle name="Kokku 18 5" xfId="5562" xr:uid="{00000000-0005-0000-0000-000005160000}"/>
    <cellStyle name="Kokku 19" xfId="5563" xr:uid="{00000000-0005-0000-0000-000006160000}"/>
    <cellStyle name="Kokku 19 2" xfId="5564" xr:uid="{00000000-0005-0000-0000-000007160000}"/>
    <cellStyle name="Kokku 19 3" xfId="5565" xr:uid="{00000000-0005-0000-0000-000008160000}"/>
    <cellStyle name="Kokku 2" xfId="5566" xr:uid="{00000000-0005-0000-0000-000009160000}"/>
    <cellStyle name="Kokku 2 2" xfId="5567" xr:uid="{00000000-0005-0000-0000-00000A160000}"/>
    <cellStyle name="Kokku 2 2 2" xfId="5568" xr:uid="{00000000-0005-0000-0000-00000B160000}"/>
    <cellStyle name="Kokku 2 2 3" xfId="5569" xr:uid="{00000000-0005-0000-0000-00000C160000}"/>
    <cellStyle name="Kokku 2 2 4" xfId="5570" xr:uid="{00000000-0005-0000-0000-00000D160000}"/>
    <cellStyle name="Kokku 2 2 5" xfId="5571" xr:uid="{00000000-0005-0000-0000-00000E160000}"/>
    <cellStyle name="Kokku 2 3" xfId="5572" xr:uid="{00000000-0005-0000-0000-00000F160000}"/>
    <cellStyle name="Kokku 2 3 2" xfId="5573" xr:uid="{00000000-0005-0000-0000-000010160000}"/>
    <cellStyle name="Kokku 2 3 3" xfId="5574" xr:uid="{00000000-0005-0000-0000-000011160000}"/>
    <cellStyle name="Kokku 2 4" xfId="5575" xr:uid="{00000000-0005-0000-0000-000012160000}"/>
    <cellStyle name="Kokku 2 5" xfId="5576" xr:uid="{00000000-0005-0000-0000-000013160000}"/>
    <cellStyle name="Kokku 2 6" xfId="5577" xr:uid="{00000000-0005-0000-0000-000014160000}"/>
    <cellStyle name="Kokku 2 7" xfId="5578" xr:uid="{00000000-0005-0000-0000-000015160000}"/>
    <cellStyle name="Kokku 20" xfId="5579" xr:uid="{00000000-0005-0000-0000-000016160000}"/>
    <cellStyle name="Kokku 21" xfId="5580" xr:uid="{00000000-0005-0000-0000-000017160000}"/>
    <cellStyle name="Kokku 22" xfId="5581" xr:uid="{00000000-0005-0000-0000-000018160000}"/>
    <cellStyle name="Kokku 23" xfId="5582" xr:uid="{00000000-0005-0000-0000-000019160000}"/>
    <cellStyle name="Kokku 3" xfId="5583" xr:uid="{00000000-0005-0000-0000-00001A160000}"/>
    <cellStyle name="Kokku 3 2" xfId="5584" xr:uid="{00000000-0005-0000-0000-00001B160000}"/>
    <cellStyle name="Kokku 3 2 2" xfId="5585" xr:uid="{00000000-0005-0000-0000-00001C160000}"/>
    <cellStyle name="Kokku 3 2 3" xfId="5586" xr:uid="{00000000-0005-0000-0000-00001D160000}"/>
    <cellStyle name="Kokku 3 2 4" xfId="5587" xr:uid="{00000000-0005-0000-0000-00001E160000}"/>
    <cellStyle name="Kokku 3 2 5" xfId="5588" xr:uid="{00000000-0005-0000-0000-00001F160000}"/>
    <cellStyle name="Kokku 3 3" xfId="5589" xr:uid="{00000000-0005-0000-0000-000020160000}"/>
    <cellStyle name="Kokku 3 4" xfId="5590" xr:uid="{00000000-0005-0000-0000-000021160000}"/>
    <cellStyle name="Kokku 3 5" xfId="5591" xr:uid="{00000000-0005-0000-0000-000022160000}"/>
    <cellStyle name="Kokku 3 6" xfId="5592" xr:uid="{00000000-0005-0000-0000-000023160000}"/>
    <cellStyle name="Kokku 4" xfId="5593" xr:uid="{00000000-0005-0000-0000-000024160000}"/>
    <cellStyle name="Kokku 4 2" xfId="5594" xr:uid="{00000000-0005-0000-0000-000025160000}"/>
    <cellStyle name="Kokku 4 2 2" xfId="5595" xr:uid="{00000000-0005-0000-0000-000026160000}"/>
    <cellStyle name="Kokku 4 2 3" xfId="5596" xr:uid="{00000000-0005-0000-0000-000027160000}"/>
    <cellStyle name="Kokku 4 2 4" xfId="5597" xr:uid="{00000000-0005-0000-0000-000028160000}"/>
    <cellStyle name="Kokku 4 2 5" xfId="5598" xr:uid="{00000000-0005-0000-0000-000029160000}"/>
    <cellStyle name="Kokku 4 3" xfId="5599" xr:uid="{00000000-0005-0000-0000-00002A160000}"/>
    <cellStyle name="Kokku 4 4" xfId="5600" xr:uid="{00000000-0005-0000-0000-00002B160000}"/>
    <cellStyle name="Kokku 4 5" xfId="5601" xr:uid="{00000000-0005-0000-0000-00002C160000}"/>
    <cellStyle name="Kokku 4 6" xfId="5602" xr:uid="{00000000-0005-0000-0000-00002D160000}"/>
    <cellStyle name="Kokku 5" xfId="5603" xr:uid="{00000000-0005-0000-0000-00002E160000}"/>
    <cellStyle name="Kokku 5 2" xfId="5604" xr:uid="{00000000-0005-0000-0000-00002F160000}"/>
    <cellStyle name="Kokku 5 2 2" xfId="5605" xr:uid="{00000000-0005-0000-0000-000030160000}"/>
    <cellStyle name="Kokku 5 2 3" xfId="5606" xr:uid="{00000000-0005-0000-0000-000031160000}"/>
    <cellStyle name="Kokku 5 2 4" xfId="5607" xr:uid="{00000000-0005-0000-0000-000032160000}"/>
    <cellStyle name="Kokku 5 2 5" xfId="5608" xr:uid="{00000000-0005-0000-0000-000033160000}"/>
    <cellStyle name="Kokku 5 3" xfId="5609" xr:uid="{00000000-0005-0000-0000-000034160000}"/>
    <cellStyle name="Kokku 5 4" xfId="5610" xr:uid="{00000000-0005-0000-0000-000035160000}"/>
    <cellStyle name="Kokku 5 5" xfId="5611" xr:uid="{00000000-0005-0000-0000-000036160000}"/>
    <cellStyle name="Kokku 5 6" xfId="5612" xr:uid="{00000000-0005-0000-0000-000037160000}"/>
    <cellStyle name="Kokku 6" xfId="5613" xr:uid="{00000000-0005-0000-0000-000038160000}"/>
    <cellStyle name="Kokku 6 2" xfId="5614" xr:uid="{00000000-0005-0000-0000-000039160000}"/>
    <cellStyle name="Kokku 6 2 2" xfId="5615" xr:uid="{00000000-0005-0000-0000-00003A160000}"/>
    <cellStyle name="Kokku 6 2 3" xfId="5616" xr:uid="{00000000-0005-0000-0000-00003B160000}"/>
    <cellStyle name="Kokku 6 2 4" xfId="5617" xr:uid="{00000000-0005-0000-0000-00003C160000}"/>
    <cellStyle name="Kokku 6 2 5" xfId="5618" xr:uid="{00000000-0005-0000-0000-00003D160000}"/>
    <cellStyle name="Kokku 6 3" xfId="5619" xr:uid="{00000000-0005-0000-0000-00003E160000}"/>
    <cellStyle name="Kokku 6 4" xfId="5620" xr:uid="{00000000-0005-0000-0000-00003F160000}"/>
    <cellStyle name="Kokku 6 5" xfId="5621" xr:uid="{00000000-0005-0000-0000-000040160000}"/>
    <cellStyle name="Kokku 6 6" xfId="5622" xr:uid="{00000000-0005-0000-0000-000041160000}"/>
    <cellStyle name="Kokku 7" xfId="5623" xr:uid="{00000000-0005-0000-0000-000042160000}"/>
    <cellStyle name="Kokku 7 2" xfId="5624" xr:uid="{00000000-0005-0000-0000-000043160000}"/>
    <cellStyle name="Kokku 7 2 2" xfId="5625" xr:uid="{00000000-0005-0000-0000-000044160000}"/>
    <cellStyle name="Kokku 7 2 3" xfId="5626" xr:uid="{00000000-0005-0000-0000-000045160000}"/>
    <cellStyle name="Kokku 7 2 4" xfId="5627" xr:uid="{00000000-0005-0000-0000-000046160000}"/>
    <cellStyle name="Kokku 7 2 5" xfId="5628" xr:uid="{00000000-0005-0000-0000-000047160000}"/>
    <cellStyle name="Kokku 7 3" xfId="5629" xr:uid="{00000000-0005-0000-0000-000048160000}"/>
    <cellStyle name="Kokku 7 4" xfId="5630" xr:uid="{00000000-0005-0000-0000-000049160000}"/>
    <cellStyle name="Kokku 7 5" xfId="5631" xr:uid="{00000000-0005-0000-0000-00004A160000}"/>
    <cellStyle name="Kokku 7 6" xfId="5632" xr:uid="{00000000-0005-0000-0000-00004B160000}"/>
    <cellStyle name="Kokku 8" xfId="5633" xr:uid="{00000000-0005-0000-0000-00004C160000}"/>
    <cellStyle name="Kokku 8 2" xfId="5634" xr:uid="{00000000-0005-0000-0000-00004D160000}"/>
    <cellStyle name="Kokku 8 2 2" xfId="5635" xr:uid="{00000000-0005-0000-0000-00004E160000}"/>
    <cellStyle name="Kokku 8 2 3" xfId="5636" xr:uid="{00000000-0005-0000-0000-00004F160000}"/>
    <cellStyle name="Kokku 8 2 4" xfId="5637" xr:uid="{00000000-0005-0000-0000-000050160000}"/>
    <cellStyle name="Kokku 8 2 5" xfId="5638" xr:uid="{00000000-0005-0000-0000-000051160000}"/>
    <cellStyle name="Kokku 8 3" xfId="5639" xr:uid="{00000000-0005-0000-0000-000052160000}"/>
    <cellStyle name="Kokku 8 4" xfId="5640" xr:uid="{00000000-0005-0000-0000-000053160000}"/>
    <cellStyle name="Kokku 8 5" xfId="5641" xr:uid="{00000000-0005-0000-0000-000054160000}"/>
    <cellStyle name="Kokku 8 6" xfId="5642" xr:uid="{00000000-0005-0000-0000-000055160000}"/>
    <cellStyle name="Kokku 9" xfId="5643" xr:uid="{00000000-0005-0000-0000-000056160000}"/>
    <cellStyle name="Kokku 9 2" xfId="5644" xr:uid="{00000000-0005-0000-0000-000057160000}"/>
    <cellStyle name="Kokku 9 2 2" xfId="5645" xr:uid="{00000000-0005-0000-0000-000058160000}"/>
    <cellStyle name="Kokku 9 2 3" xfId="5646" xr:uid="{00000000-0005-0000-0000-000059160000}"/>
    <cellStyle name="Kokku 9 2 4" xfId="5647" xr:uid="{00000000-0005-0000-0000-00005A160000}"/>
    <cellStyle name="Kokku 9 2 5" xfId="5648" xr:uid="{00000000-0005-0000-0000-00005B160000}"/>
    <cellStyle name="Kokku 9 3" xfId="5649" xr:uid="{00000000-0005-0000-0000-00005C160000}"/>
    <cellStyle name="Kokku 9 4" xfId="5650" xr:uid="{00000000-0005-0000-0000-00005D160000}"/>
    <cellStyle name="Kokku 9 5" xfId="5651" xr:uid="{00000000-0005-0000-0000-00005E160000}"/>
    <cellStyle name="Kokku 9 6" xfId="5652" xr:uid="{00000000-0005-0000-0000-00005F160000}"/>
    <cellStyle name="Kokku_KTR An-Abflug" xfId="14887" xr:uid="{00000000-0005-0000-0000-000060160000}"/>
    <cellStyle name="Komma" xfId="14654" builtinId="3"/>
    <cellStyle name="Komma 2" xfId="5653" xr:uid="{00000000-0005-0000-0000-000061160000}"/>
    <cellStyle name="Komma 2 2" xfId="5654" xr:uid="{00000000-0005-0000-0000-000062160000}"/>
    <cellStyle name="Komma 2 2 2" xfId="14808" xr:uid="{00000000-0005-0000-0000-000063160000}"/>
    <cellStyle name="Komma 2 3" xfId="5655" xr:uid="{00000000-0005-0000-0000-000064160000}"/>
    <cellStyle name="Komma 3" xfId="5656" xr:uid="{00000000-0005-0000-0000-000065160000}"/>
    <cellStyle name="Komma 3 2" xfId="5657" xr:uid="{00000000-0005-0000-0000-000066160000}"/>
    <cellStyle name="Komma 3 2 2" xfId="5658" xr:uid="{00000000-0005-0000-0000-000067160000}"/>
    <cellStyle name="Komma 3 3" xfId="5659" xr:uid="{00000000-0005-0000-0000-000068160000}"/>
    <cellStyle name="Komma 4" xfId="5660" xr:uid="{00000000-0005-0000-0000-000069160000}"/>
    <cellStyle name="Komma 4 2" xfId="5661" xr:uid="{00000000-0005-0000-0000-00006A160000}"/>
    <cellStyle name="Komma 4 2 2" xfId="14809" xr:uid="{00000000-0005-0000-0000-00006B160000}"/>
    <cellStyle name="Komma 4 3" xfId="5662" xr:uid="{00000000-0005-0000-0000-00006C160000}"/>
    <cellStyle name="Komma 5" xfId="5663" xr:uid="{00000000-0005-0000-0000-00006D160000}"/>
    <cellStyle name="Komórka połączona" xfId="5664" xr:uid="{00000000-0005-0000-0000-00006E160000}"/>
    <cellStyle name="Komórka połączona 2" xfId="5665" xr:uid="{00000000-0005-0000-0000-00006F160000}"/>
    <cellStyle name="Komórka zaznaczona" xfId="5666" xr:uid="{00000000-0005-0000-0000-000070160000}"/>
    <cellStyle name="Komórka zaznaczona 2" xfId="5667" xr:uid="{00000000-0005-0000-0000-000071160000}"/>
    <cellStyle name="Kontrollcell" xfId="5668" xr:uid="{00000000-0005-0000-0000-000072160000}"/>
    <cellStyle name="Kontroller celle" xfId="5669" xr:uid="{00000000-0005-0000-0000-000073160000}"/>
    <cellStyle name="Kontrolli lahtrit" xfId="5670" xr:uid="{00000000-0005-0000-0000-000074160000}"/>
    <cellStyle name="Kontrolli lahtrit 2" xfId="5671" xr:uid="{00000000-0005-0000-0000-000075160000}"/>
    <cellStyle name="Kontrolli lahtrit 3" xfId="5672" xr:uid="{00000000-0005-0000-0000-000076160000}"/>
    <cellStyle name="Kontrolní buňka" xfId="5673" xr:uid="{00000000-0005-0000-0000-000077160000}"/>
    <cellStyle name="KPMG Heading 1" xfId="5674" xr:uid="{00000000-0005-0000-0000-000078160000}"/>
    <cellStyle name="KPMG Heading 2" xfId="5675" xr:uid="{00000000-0005-0000-0000-000079160000}"/>
    <cellStyle name="KPMG Heading 3" xfId="5676" xr:uid="{00000000-0005-0000-0000-00007A160000}"/>
    <cellStyle name="KPMG Heading 4" xfId="5677" xr:uid="{00000000-0005-0000-0000-00007B160000}"/>
    <cellStyle name="KPMG Normal" xfId="5678" xr:uid="{00000000-0005-0000-0000-00007C160000}"/>
    <cellStyle name="KPMG Normal Text" xfId="5679" xr:uid="{00000000-0005-0000-0000-00007D160000}"/>
    <cellStyle name="Label" xfId="5680" xr:uid="{00000000-0005-0000-0000-00007E160000}"/>
    <cellStyle name="Lable_1" xfId="5681" xr:uid="{00000000-0005-0000-0000-00007F160000}"/>
    <cellStyle name="Large" xfId="5683" xr:uid="{00000000-0005-0000-0000-000081160000}"/>
    <cellStyle name="Laskenta" xfId="5684" xr:uid="{00000000-0005-0000-0000-000082160000}"/>
    <cellStyle name="Laskenta 10" xfId="5685" xr:uid="{00000000-0005-0000-0000-000083160000}"/>
    <cellStyle name="Laskenta 10 2" xfId="5686" xr:uid="{00000000-0005-0000-0000-000084160000}"/>
    <cellStyle name="Laskenta 10 2 2" xfId="5687" xr:uid="{00000000-0005-0000-0000-000085160000}"/>
    <cellStyle name="Laskenta 10 2 3" xfId="5688" xr:uid="{00000000-0005-0000-0000-000086160000}"/>
    <cellStyle name="Laskenta 10 2 4" xfId="5689" xr:uid="{00000000-0005-0000-0000-000087160000}"/>
    <cellStyle name="Laskenta 10 2 5" xfId="5690" xr:uid="{00000000-0005-0000-0000-000088160000}"/>
    <cellStyle name="Laskenta 10 3" xfId="5691" xr:uid="{00000000-0005-0000-0000-000089160000}"/>
    <cellStyle name="Laskenta 10 4" xfId="5692" xr:uid="{00000000-0005-0000-0000-00008A160000}"/>
    <cellStyle name="Laskenta 10 5" xfId="5693" xr:uid="{00000000-0005-0000-0000-00008B160000}"/>
    <cellStyle name="Laskenta 10 6" xfId="5694" xr:uid="{00000000-0005-0000-0000-00008C160000}"/>
    <cellStyle name="Laskenta 11" xfId="5695" xr:uid="{00000000-0005-0000-0000-00008D160000}"/>
    <cellStyle name="Laskenta 11 2" xfId="5696" xr:uid="{00000000-0005-0000-0000-00008E160000}"/>
    <cellStyle name="Laskenta 11 2 2" xfId="5697" xr:uid="{00000000-0005-0000-0000-00008F160000}"/>
    <cellStyle name="Laskenta 11 2 3" xfId="5698" xr:uid="{00000000-0005-0000-0000-000090160000}"/>
    <cellStyle name="Laskenta 11 2 4" xfId="5699" xr:uid="{00000000-0005-0000-0000-000091160000}"/>
    <cellStyle name="Laskenta 11 2 5" xfId="5700" xr:uid="{00000000-0005-0000-0000-000092160000}"/>
    <cellStyle name="Laskenta 11 3" xfId="5701" xr:uid="{00000000-0005-0000-0000-000093160000}"/>
    <cellStyle name="Laskenta 11 4" xfId="5702" xr:uid="{00000000-0005-0000-0000-000094160000}"/>
    <cellStyle name="Laskenta 11 5" xfId="5703" xr:uid="{00000000-0005-0000-0000-000095160000}"/>
    <cellStyle name="Laskenta 11 6" xfId="5704" xr:uid="{00000000-0005-0000-0000-000096160000}"/>
    <cellStyle name="Laskenta 12" xfId="5705" xr:uid="{00000000-0005-0000-0000-000097160000}"/>
    <cellStyle name="Laskenta 12 2" xfId="5706" xr:uid="{00000000-0005-0000-0000-000098160000}"/>
    <cellStyle name="Laskenta 12 2 2" xfId="5707" xr:uid="{00000000-0005-0000-0000-000099160000}"/>
    <cellStyle name="Laskenta 12 2 3" xfId="5708" xr:uid="{00000000-0005-0000-0000-00009A160000}"/>
    <cellStyle name="Laskenta 12 2 4" xfId="5709" xr:uid="{00000000-0005-0000-0000-00009B160000}"/>
    <cellStyle name="Laskenta 12 2 5" xfId="5710" xr:uid="{00000000-0005-0000-0000-00009C160000}"/>
    <cellStyle name="Laskenta 12 3" xfId="5711" xr:uid="{00000000-0005-0000-0000-00009D160000}"/>
    <cellStyle name="Laskenta 12 4" xfId="5712" xr:uid="{00000000-0005-0000-0000-00009E160000}"/>
    <cellStyle name="Laskenta 12 5" xfId="5713" xr:uid="{00000000-0005-0000-0000-00009F160000}"/>
    <cellStyle name="Laskenta 12 6" xfId="5714" xr:uid="{00000000-0005-0000-0000-0000A0160000}"/>
    <cellStyle name="Laskenta 13" xfId="5715" xr:uid="{00000000-0005-0000-0000-0000A1160000}"/>
    <cellStyle name="Laskenta 13 2" xfId="5716" xr:uid="{00000000-0005-0000-0000-0000A2160000}"/>
    <cellStyle name="Laskenta 13 2 2" xfId="5717" xr:uid="{00000000-0005-0000-0000-0000A3160000}"/>
    <cellStyle name="Laskenta 13 2 3" xfId="5718" xr:uid="{00000000-0005-0000-0000-0000A4160000}"/>
    <cellStyle name="Laskenta 13 2 4" xfId="5719" xr:uid="{00000000-0005-0000-0000-0000A5160000}"/>
    <cellStyle name="Laskenta 13 2 5" xfId="5720" xr:uid="{00000000-0005-0000-0000-0000A6160000}"/>
    <cellStyle name="Laskenta 13 3" xfId="5721" xr:uid="{00000000-0005-0000-0000-0000A7160000}"/>
    <cellStyle name="Laskenta 13 4" xfId="5722" xr:uid="{00000000-0005-0000-0000-0000A8160000}"/>
    <cellStyle name="Laskenta 13 5" xfId="5723" xr:uid="{00000000-0005-0000-0000-0000A9160000}"/>
    <cellStyle name="Laskenta 13 6" xfId="5724" xr:uid="{00000000-0005-0000-0000-0000AA160000}"/>
    <cellStyle name="Laskenta 14" xfId="5725" xr:uid="{00000000-0005-0000-0000-0000AB160000}"/>
    <cellStyle name="Laskenta 14 2" xfId="5726" xr:uid="{00000000-0005-0000-0000-0000AC160000}"/>
    <cellStyle name="Laskenta 14 2 2" xfId="5727" xr:uid="{00000000-0005-0000-0000-0000AD160000}"/>
    <cellStyle name="Laskenta 14 2 3" xfId="5728" xr:uid="{00000000-0005-0000-0000-0000AE160000}"/>
    <cellStyle name="Laskenta 14 2 4" xfId="5729" xr:uid="{00000000-0005-0000-0000-0000AF160000}"/>
    <cellStyle name="Laskenta 14 2 5" xfId="5730" xr:uid="{00000000-0005-0000-0000-0000B0160000}"/>
    <cellStyle name="Laskenta 14 3" xfId="5731" xr:uid="{00000000-0005-0000-0000-0000B1160000}"/>
    <cellStyle name="Laskenta 14 4" xfId="5732" xr:uid="{00000000-0005-0000-0000-0000B2160000}"/>
    <cellStyle name="Laskenta 14 5" xfId="5733" xr:uid="{00000000-0005-0000-0000-0000B3160000}"/>
    <cellStyle name="Laskenta 14 6" xfId="5734" xr:uid="{00000000-0005-0000-0000-0000B4160000}"/>
    <cellStyle name="Laskenta 15" xfId="5735" xr:uid="{00000000-0005-0000-0000-0000B5160000}"/>
    <cellStyle name="Laskenta 15 2" xfId="5736" xr:uid="{00000000-0005-0000-0000-0000B6160000}"/>
    <cellStyle name="Laskenta 15 2 2" xfId="5737" xr:uid="{00000000-0005-0000-0000-0000B7160000}"/>
    <cellStyle name="Laskenta 15 2 3" xfId="5738" xr:uid="{00000000-0005-0000-0000-0000B8160000}"/>
    <cellStyle name="Laskenta 15 2 4" xfId="5739" xr:uid="{00000000-0005-0000-0000-0000B9160000}"/>
    <cellStyle name="Laskenta 15 2 5" xfId="5740" xr:uid="{00000000-0005-0000-0000-0000BA160000}"/>
    <cellStyle name="Laskenta 15 3" xfId="5741" xr:uid="{00000000-0005-0000-0000-0000BB160000}"/>
    <cellStyle name="Laskenta 15 4" xfId="5742" xr:uid="{00000000-0005-0000-0000-0000BC160000}"/>
    <cellStyle name="Laskenta 15 5" xfId="5743" xr:uid="{00000000-0005-0000-0000-0000BD160000}"/>
    <cellStyle name="Laskenta 15 6" xfId="5744" xr:uid="{00000000-0005-0000-0000-0000BE160000}"/>
    <cellStyle name="Laskenta 16" xfId="5745" xr:uid="{00000000-0005-0000-0000-0000BF160000}"/>
    <cellStyle name="Laskenta 16 2" xfId="5746" xr:uid="{00000000-0005-0000-0000-0000C0160000}"/>
    <cellStyle name="Laskenta 16 2 2" xfId="5747" xr:uid="{00000000-0005-0000-0000-0000C1160000}"/>
    <cellStyle name="Laskenta 16 2 3" xfId="5748" xr:uid="{00000000-0005-0000-0000-0000C2160000}"/>
    <cellStyle name="Laskenta 16 2 4" xfId="5749" xr:uid="{00000000-0005-0000-0000-0000C3160000}"/>
    <cellStyle name="Laskenta 16 2 5" xfId="5750" xr:uid="{00000000-0005-0000-0000-0000C4160000}"/>
    <cellStyle name="Laskenta 16 3" xfId="5751" xr:uid="{00000000-0005-0000-0000-0000C5160000}"/>
    <cellStyle name="Laskenta 16 4" xfId="5752" xr:uid="{00000000-0005-0000-0000-0000C6160000}"/>
    <cellStyle name="Laskenta 16 5" xfId="5753" xr:uid="{00000000-0005-0000-0000-0000C7160000}"/>
    <cellStyle name="Laskenta 16 6" xfId="5754" xr:uid="{00000000-0005-0000-0000-0000C8160000}"/>
    <cellStyle name="Laskenta 17" xfId="5755" xr:uid="{00000000-0005-0000-0000-0000C9160000}"/>
    <cellStyle name="Laskenta 17 2" xfId="5756" xr:uid="{00000000-0005-0000-0000-0000CA160000}"/>
    <cellStyle name="Laskenta 17 2 2" xfId="5757" xr:uid="{00000000-0005-0000-0000-0000CB160000}"/>
    <cellStyle name="Laskenta 17 2 3" xfId="5758" xr:uid="{00000000-0005-0000-0000-0000CC160000}"/>
    <cellStyle name="Laskenta 17 2 4" xfId="5759" xr:uid="{00000000-0005-0000-0000-0000CD160000}"/>
    <cellStyle name="Laskenta 17 2 5" xfId="5760" xr:uid="{00000000-0005-0000-0000-0000CE160000}"/>
    <cellStyle name="Laskenta 17 3" xfId="5761" xr:uid="{00000000-0005-0000-0000-0000CF160000}"/>
    <cellStyle name="Laskenta 17 4" xfId="5762" xr:uid="{00000000-0005-0000-0000-0000D0160000}"/>
    <cellStyle name="Laskenta 17 5" xfId="5763" xr:uid="{00000000-0005-0000-0000-0000D1160000}"/>
    <cellStyle name="Laskenta 17 6" xfId="5764" xr:uid="{00000000-0005-0000-0000-0000D2160000}"/>
    <cellStyle name="Laskenta 18" xfId="5765" xr:uid="{00000000-0005-0000-0000-0000D3160000}"/>
    <cellStyle name="Laskenta 18 2" xfId="5766" xr:uid="{00000000-0005-0000-0000-0000D4160000}"/>
    <cellStyle name="Laskenta 18 2 2" xfId="5767" xr:uid="{00000000-0005-0000-0000-0000D5160000}"/>
    <cellStyle name="Laskenta 18 2 3" xfId="5768" xr:uid="{00000000-0005-0000-0000-0000D6160000}"/>
    <cellStyle name="Laskenta 18 2 4" xfId="5769" xr:uid="{00000000-0005-0000-0000-0000D7160000}"/>
    <cellStyle name="Laskenta 18 2 5" xfId="5770" xr:uid="{00000000-0005-0000-0000-0000D8160000}"/>
    <cellStyle name="Laskenta 18 3" xfId="5771" xr:uid="{00000000-0005-0000-0000-0000D9160000}"/>
    <cellStyle name="Laskenta 18 4" xfId="5772" xr:uid="{00000000-0005-0000-0000-0000DA160000}"/>
    <cellStyle name="Laskenta 18 5" xfId="5773" xr:uid="{00000000-0005-0000-0000-0000DB160000}"/>
    <cellStyle name="Laskenta 18 6" xfId="5774" xr:uid="{00000000-0005-0000-0000-0000DC160000}"/>
    <cellStyle name="Laskenta 19" xfId="5775" xr:uid="{00000000-0005-0000-0000-0000DD160000}"/>
    <cellStyle name="Laskenta 19 2" xfId="5776" xr:uid="{00000000-0005-0000-0000-0000DE160000}"/>
    <cellStyle name="Laskenta 19 3" xfId="5777" xr:uid="{00000000-0005-0000-0000-0000DF160000}"/>
    <cellStyle name="Laskenta 19 4" xfId="5778" xr:uid="{00000000-0005-0000-0000-0000E0160000}"/>
    <cellStyle name="Laskenta 19 5" xfId="5779" xr:uid="{00000000-0005-0000-0000-0000E1160000}"/>
    <cellStyle name="Laskenta 2" xfId="5780" xr:uid="{00000000-0005-0000-0000-0000E2160000}"/>
    <cellStyle name="Laskenta 2 2" xfId="5781" xr:uid="{00000000-0005-0000-0000-0000E3160000}"/>
    <cellStyle name="Laskenta 2 2 2" xfId="5782" xr:uid="{00000000-0005-0000-0000-0000E4160000}"/>
    <cellStyle name="Laskenta 2 2 3" xfId="5783" xr:uid="{00000000-0005-0000-0000-0000E5160000}"/>
    <cellStyle name="Laskenta 2 2 4" xfId="5784" xr:uid="{00000000-0005-0000-0000-0000E6160000}"/>
    <cellStyle name="Laskenta 2 2 5" xfId="5785" xr:uid="{00000000-0005-0000-0000-0000E7160000}"/>
    <cellStyle name="Laskenta 2 3" xfId="5786" xr:uid="{00000000-0005-0000-0000-0000E8160000}"/>
    <cellStyle name="Laskenta 2 4" xfId="5787" xr:uid="{00000000-0005-0000-0000-0000E9160000}"/>
    <cellStyle name="Laskenta 2 5" xfId="5788" xr:uid="{00000000-0005-0000-0000-0000EA160000}"/>
    <cellStyle name="Laskenta 2 6" xfId="5789" xr:uid="{00000000-0005-0000-0000-0000EB160000}"/>
    <cellStyle name="Laskenta 20" xfId="5790" xr:uid="{00000000-0005-0000-0000-0000EC160000}"/>
    <cellStyle name="Laskenta 21" xfId="5791" xr:uid="{00000000-0005-0000-0000-0000ED160000}"/>
    <cellStyle name="Laskenta 22" xfId="5792" xr:uid="{00000000-0005-0000-0000-0000EE160000}"/>
    <cellStyle name="Laskenta 23" xfId="5793" xr:uid="{00000000-0005-0000-0000-0000EF160000}"/>
    <cellStyle name="Laskenta 3" xfId="5794" xr:uid="{00000000-0005-0000-0000-0000F0160000}"/>
    <cellStyle name="Laskenta 3 2" xfId="5795" xr:uid="{00000000-0005-0000-0000-0000F1160000}"/>
    <cellStyle name="Laskenta 3 2 2" xfId="5796" xr:uid="{00000000-0005-0000-0000-0000F2160000}"/>
    <cellStyle name="Laskenta 3 2 3" xfId="5797" xr:uid="{00000000-0005-0000-0000-0000F3160000}"/>
    <cellStyle name="Laskenta 3 2 4" xfId="5798" xr:uid="{00000000-0005-0000-0000-0000F4160000}"/>
    <cellStyle name="Laskenta 3 2 5" xfId="5799" xr:uid="{00000000-0005-0000-0000-0000F5160000}"/>
    <cellStyle name="Laskenta 3 3" xfId="5800" xr:uid="{00000000-0005-0000-0000-0000F6160000}"/>
    <cellStyle name="Laskenta 3 4" xfId="5801" xr:uid="{00000000-0005-0000-0000-0000F7160000}"/>
    <cellStyle name="Laskenta 3 5" xfId="5802" xr:uid="{00000000-0005-0000-0000-0000F8160000}"/>
    <cellStyle name="Laskenta 3 6" xfId="5803" xr:uid="{00000000-0005-0000-0000-0000F9160000}"/>
    <cellStyle name="Laskenta 4" xfId="5804" xr:uid="{00000000-0005-0000-0000-0000FA160000}"/>
    <cellStyle name="Laskenta 4 2" xfId="5805" xr:uid="{00000000-0005-0000-0000-0000FB160000}"/>
    <cellStyle name="Laskenta 4 2 2" xfId="5806" xr:uid="{00000000-0005-0000-0000-0000FC160000}"/>
    <cellStyle name="Laskenta 4 2 3" xfId="5807" xr:uid="{00000000-0005-0000-0000-0000FD160000}"/>
    <cellStyle name="Laskenta 4 2 4" xfId="5808" xr:uid="{00000000-0005-0000-0000-0000FE160000}"/>
    <cellStyle name="Laskenta 4 2 5" xfId="5809" xr:uid="{00000000-0005-0000-0000-0000FF160000}"/>
    <cellStyle name="Laskenta 4 3" xfId="5810" xr:uid="{00000000-0005-0000-0000-000000170000}"/>
    <cellStyle name="Laskenta 4 4" xfId="5811" xr:uid="{00000000-0005-0000-0000-000001170000}"/>
    <cellStyle name="Laskenta 4 5" xfId="5812" xr:uid="{00000000-0005-0000-0000-000002170000}"/>
    <cellStyle name="Laskenta 4 6" xfId="5813" xr:uid="{00000000-0005-0000-0000-000003170000}"/>
    <cellStyle name="Laskenta 5" xfId="5814" xr:uid="{00000000-0005-0000-0000-000004170000}"/>
    <cellStyle name="Laskenta 5 2" xfId="5815" xr:uid="{00000000-0005-0000-0000-000005170000}"/>
    <cellStyle name="Laskenta 5 2 2" xfId="5816" xr:uid="{00000000-0005-0000-0000-000006170000}"/>
    <cellStyle name="Laskenta 5 2 3" xfId="5817" xr:uid="{00000000-0005-0000-0000-000007170000}"/>
    <cellStyle name="Laskenta 5 2 4" xfId="5818" xr:uid="{00000000-0005-0000-0000-000008170000}"/>
    <cellStyle name="Laskenta 5 2 5" xfId="5819" xr:uid="{00000000-0005-0000-0000-000009170000}"/>
    <cellStyle name="Laskenta 5 3" xfId="5820" xr:uid="{00000000-0005-0000-0000-00000A170000}"/>
    <cellStyle name="Laskenta 5 4" xfId="5821" xr:uid="{00000000-0005-0000-0000-00000B170000}"/>
    <cellStyle name="Laskenta 5 5" xfId="5822" xr:uid="{00000000-0005-0000-0000-00000C170000}"/>
    <cellStyle name="Laskenta 5 6" xfId="5823" xr:uid="{00000000-0005-0000-0000-00000D170000}"/>
    <cellStyle name="Laskenta 6" xfId="5824" xr:uid="{00000000-0005-0000-0000-00000E170000}"/>
    <cellStyle name="Laskenta 6 2" xfId="5825" xr:uid="{00000000-0005-0000-0000-00000F170000}"/>
    <cellStyle name="Laskenta 6 2 2" xfId="5826" xr:uid="{00000000-0005-0000-0000-000010170000}"/>
    <cellStyle name="Laskenta 6 2 3" xfId="5827" xr:uid="{00000000-0005-0000-0000-000011170000}"/>
    <cellStyle name="Laskenta 6 2 4" xfId="5828" xr:uid="{00000000-0005-0000-0000-000012170000}"/>
    <cellStyle name="Laskenta 6 2 5" xfId="5829" xr:uid="{00000000-0005-0000-0000-000013170000}"/>
    <cellStyle name="Laskenta 6 3" xfId="5830" xr:uid="{00000000-0005-0000-0000-000014170000}"/>
    <cellStyle name="Laskenta 6 4" xfId="5831" xr:uid="{00000000-0005-0000-0000-000015170000}"/>
    <cellStyle name="Laskenta 6 5" xfId="5832" xr:uid="{00000000-0005-0000-0000-000016170000}"/>
    <cellStyle name="Laskenta 6 6" xfId="5833" xr:uid="{00000000-0005-0000-0000-000017170000}"/>
    <cellStyle name="Laskenta 7" xfId="5834" xr:uid="{00000000-0005-0000-0000-000018170000}"/>
    <cellStyle name="Laskenta 7 2" xfId="5835" xr:uid="{00000000-0005-0000-0000-000019170000}"/>
    <cellStyle name="Laskenta 7 2 2" xfId="5836" xr:uid="{00000000-0005-0000-0000-00001A170000}"/>
    <cellStyle name="Laskenta 7 2 3" xfId="5837" xr:uid="{00000000-0005-0000-0000-00001B170000}"/>
    <cellStyle name="Laskenta 7 2 4" xfId="5838" xr:uid="{00000000-0005-0000-0000-00001C170000}"/>
    <cellStyle name="Laskenta 7 2 5" xfId="5839" xr:uid="{00000000-0005-0000-0000-00001D170000}"/>
    <cellStyle name="Laskenta 7 3" xfId="5840" xr:uid="{00000000-0005-0000-0000-00001E170000}"/>
    <cellStyle name="Laskenta 7 4" xfId="5841" xr:uid="{00000000-0005-0000-0000-00001F170000}"/>
    <cellStyle name="Laskenta 7 5" xfId="5842" xr:uid="{00000000-0005-0000-0000-000020170000}"/>
    <cellStyle name="Laskenta 7 6" xfId="5843" xr:uid="{00000000-0005-0000-0000-000021170000}"/>
    <cellStyle name="Laskenta 8" xfId="5844" xr:uid="{00000000-0005-0000-0000-000022170000}"/>
    <cellStyle name="Laskenta 8 2" xfId="5845" xr:uid="{00000000-0005-0000-0000-000023170000}"/>
    <cellStyle name="Laskenta 8 2 2" xfId="5846" xr:uid="{00000000-0005-0000-0000-000024170000}"/>
    <cellStyle name="Laskenta 8 2 3" xfId="5847" xr:uid="{00000000-0005-0000-0000-000025170000}"/>
    <cellStyle name="Laskenta 8 2 4" xfId="5848" xr:uid="{00000000-0005-0000-0000-000026170000}"/>
    <cellStyle name="Laskenta 8 2 5" xfId="5849" xr:uid="{00000000-0005-0000-0000-000027170000}"/>
    <cellStyle name="Laskenta 8 3" xfId="5850" xr:uid="{00000000-0005-0000-0000-000028170000}"/>
    <cellStyle name="Laskenta 8 4" xfId="5851" xr:uid="{00000000-0005-0000-0000-000029170000}"/>
    <cellStyle name="Laskenta 8 5" xfId="5852" xr:uid="{00000000-0005-0000-0000-00002A170000}"/>
    <cellStyle name="Laskenta 8 6" xfId="5853" xr:uid="{00000000-0005-0000-0000-00002B170000}"/>
    <cellStyle name="Laskenta 9" xfId="5854" xr:uid="{00000000-0005-0000-0000-00002C170000}"/>
    <cellStyle name="Laskenta 9 2" xfId="5855" xr:uid="{00000000-0005-0000-0000-00002D170000}"/>
    <cellStyle name="Laskenta 9 2 2" xfId="5856" xr:uid="{00000000-0005-0000-0000-00002E170000}"/>
    <cellStyle name="Laskenta 9 2 3" xfId="5857" xr:uid="{00000000-0005-0000-0000-00002F170000}"/>
    <cellStyle name="Laskenta 9 2 4" xfId="5858" xr:uid="{00000000-0005-0000-0000-000030170000}"/>
    <cellStyle name="Laskenta 9 2 5" xfId="5859" xr:uid="{00000000-0005-0000-0000-000031170000}"/>
    <cellStyle name="Laskenta 9 3" xfId="5860" xr:uid="{00000000-0005-0000-0000-000032170000}"/>
    <cellStyle name="Laskenta 9 4" xfId="5861" xr:uid="{00000000-0005-0000-0000-000033170000}"/>
    <cellStyle name="Laskenta 9 5" xfId="5862" xr:uid="{00000000-0005-0000-0000-000034170000}"/>
    <cellStyle name="Laskenta 9 6" xfId="5863" xr:uid="{00000000-0005-0000-0000-000035170000}"/>
    <cellStyle name="Laskenta_PGM_CHECK" xfId="14893" xr:uid="{00000000-0005-0000-0000-000036170000}"/>
    <cellStyle name="Liaison Externe" xfId="5864" xr:uid="{00000000-0005-0000-0000-000037170000}"/>
    <cellStyle name="Lien hypertexte 2" xfId="5865" xr:uid="{00000000-0005-0000-0000-000038170000}"/>
    <cellStyle name="Lien hypertexte 3" xfId="5866" xr:uid="{00000000-0005-0000-0000-000039170000}"/>
    <cellStyle name="Lingitud lahter" xfId="5867" xr:uid="{00000000-0005-0000-0000-00003A170000}"/>
    <cellStyle name="Lingitud lahter 2" xfId="5868" xr:uid="{00000000-0005-0000-0000-00003B170000}"/>
    <cellStyle name="Lingitud lahter 3" xfId="5869" xr:uid="{00000000-0005-0000-0000-00003C170000}"/>
    <cellStyle name="Link_addon" xfId="5870" xr:uid="{00000000-0005-0000-0000-00003D170000}"/>
    <cellStyle name="Linked Cell 2" xfId="5872" xr:uid="{00000000-0005-0000-0000-00003F170000}"/>
    <cellStyle name="Linkitetty solu" xfId="5873" xr:uid="{00000000-0005-0000-0000-000040170000}"/>
    <cellStyle name="Lookup References" xfId="5874" xr:uid="{00000000-0005-0000-0000-000041170000}"/>
    <cellStyle name="Länkad cell" xfId="5682" xr:uid="{00000000-0005-0000-0000-000080160000}"/>
    <cellStyle name="Magyarázó szöveg 2" xfId="5875" xr:uid="{00000000-0005-0000-0000-000042170000}"/>
    <cellStyle name="Major heading" xfId="5876" xr:uid="{00000000-0005-0000-0000-000043170000}"/>
    <cellStyle name="Markeringsfarve1" xfId="5877" xr:uid="{00000000-0005-0000-0000-000044170000}"/>
    <cellStyle name="Markeringsfarve2" xfId="5878" xr:uid="{00000000-0005-0000-0000-000045170000}"/>
    <cellStyle name="Markeringsfarve3" xfId="5879" xr:uid="{00000000-0005-0000-0000-000046170000}"/>
    <cellStyle name="Markeringsfarve4" xfId="5880" xr:uid="{00000000-0005-0000-0000-000047170000}"/>
    <cellStyle name="Markeringsfarve5" xfId="5881" xr:uid="{00000000-0005-0000-0000-000048170000}"/>
    <cellStyle name="Markeringsfarve6" xfId="5882" xr:uid="{00000000-0005-0000-0000-000049170000}"/>
    <cellStyle name="Mary 1" xfId="6069" xr:uid="{00000000-0005-0000-0000-000004180000}"/>
    <cellStyle name="Medium" xfId="6070" xr:uid="{00000000-0005-0000-0000-000005180000}"/>
    <cellStyle name="Merknad" xfId="7690" builtinId="10" customBuiltin="1"/>
    <cellStyle name="Message" xfId="6071" xr:uid="{00000000-0005-0000-0000-000006180000}"/>
    <cellStyle name="Migliaia (0)_Brazil" xfId="6072" xr:uid="{00000000-0005-0000-0000-000007180000}"/>
    <cellStyle name="Migliaia [0] 10" xfId="6073" xr:uid="{00000000-0005-0000-0000-000008180000}"/>
    <cellStyle name="Migliaia [0] 10 2" xfId="6074" xr:uid="{00000000-0005-0000-0000-000009180000}"/>
    <cellStyle name="Migliaia [0] 2" xfId="6075" xr:uid="{00000000-0005-0000-0000-00000A180000}"/>
    <cellStyle name="Migliaia [0] 2 2" xfId="6076" xr:uid="{00000000-0005-0000-0000-00000B180000}"/>
    <cellStyle name="Migliaia [0] 2 2 2" xfId="6077" xr:uid="{00000000-0005-0000-0000-00000C180000}"/>
    <cellStyle name="Migliaia [0] 2 2 2 2" xfId="6078" xr:uid="{00000000-0005-0000-0000-00000D180000}"/>
    <cellStyle name="Migliaia [0] 2 2 3" xfId="6079" xr:uid="{00000000-0005-0000-0000-00000E180000}"/>
    <cellStyle name="Migliaia [0] 2 3" xfId="6080" xr:uid="{00000000-0005-0000-0000-00000F180000}"/>
    <cellStyle name="Migliaia [0] 2 3 2" xfId="6081" xr:uid="{00000000-0005-0000-0000-000010180000}"/>
    <cellStyle name="Migliaia [0] 2 4" xfId="6082" xr:uid="{00000000-0005-0000-0000-000011180000}"/>
    <cellStyle name="Migliaia [0] 3" xfId="6083" xr:uid="{00000000-0005-0000-0000-000012180000}"/>
    <cellStyle name="Migliaia [0] 3 2" xfId="6084" xr:uid="{00000000-0005-0000-0000-000013180000}"/>
    <cellStyle name="Migliaia [0] 3 2 2" xfId="6085" xr:uid="{00000000-0005-0000-0000-000014180000}"/>
    <cellStyle name="Migliaia [0] 3 2 2 2" xfId="6086" xr:uid="{00000000-0005-0000-0000-000015180000}"/>
    <cellStyle name="Migliaia [0] 3 2 3" xfId="6087" xr:uid="{00000000-0005-0000-0000-000016180000}"/>
    <cellStyle name="Migliaia [0] 3 3" xfId="6088" xr:uid="{00000000-0005-0000-0000-000017180000}"/>
    <cellStyle name="Migliaia [0] 3 3 2" xfId="6089" xr:uid="{00000000-0005-0000-0000-000018180000}"/>
    <cellStyle name="Migliaia [0] 3 4" xfId="6090" xr:uid="{00000000-0005-0000-0000-000019180000}"/>
    <cellStyle name="Migliaia [0] 4" xfId="6091" xr:uid="{00000000-0005-0000-0000-00001A180000}"/>
    <cellStyle name="Migliaia [0] 4 2" xfId="6092" xr:uid="{00000000-0005-0000-0000-00001B180000}"/>
    <cellStyle name="Migliaia [0] 4 2 2" xfId="6093" xr:uid="{00000000-0005-0000-0000-00001C180000}"/>
    <cellStyle name="Migliaia [0] 4 2 2 2" xfId="6094" xr:uid="{00000000-0005-0000-0000-00001D180000}"/>
    <cellStyle name="Migliaia [0] 4 2 3" xfId="6095" xr:uid="{00000000-0005-0000-0000-00001E180000}"/>
    <cellStyle name="Migliaia [0] 4 3" xfId="6096" xr:uid="{00000000-0005-0000-0000-00001F180000}"/>
    <cellStyle name="Migliaia [0] 4 3 2" xfId="6097" xr:uid="{00000000-0005-0000-0000-000020180000}"/>
    <cellStyle name="Migliaia [0] 4 4" xfId="6098" xr:uid="{00000000-0005-0000-0000-000021180000}"/>
    <cellStyle name="Migliaia [0] 5" xfId="6099" xr:uid="{00000000-0005-0000-0000-000022180000}"/>
    <cellStyle name="Migliaia [0] 5 2" xfId="6100" xr:uid="{00000000-0005-0000-0000-000023180000}"/>
    <cellStyle name="Migliaia [0] 5 2 2" xfId="6101" xr:uid="{00000000-0005-0000-0000-000024180000}"/>
    <cellStyle name="Migliaia [0] 5 2 2 2" xfId="6102" xr:uid="{00000000-0005-0000-0000-000025180000}"/>
    <cellStyle name="Migliaia [0] 5 2 3" xfId="6103" xr:uid="{00000000-0005-0000-0000-000026180000}"/>
    <cellStyle name="Migliaia [0] 5 3" xfId="6104" xr:uid="{00000000-0005-0000-0000-000027180000}"/>
    <cellStyle name="Migliaia [0] 5 3 2" xfId="6105" xr:uid="{00000000-0005-0000-0000-000028180000}"/>
    <cellStyle name="Migliaia [0] 5 4" xfId="6106" xr:uid="{00000000-0005-0000-0000-000029180000}"/>
    <cellStyle name="Migliaia [0] 5 5" xfId="6107" xr:uid="{00000000-0005-0000-0000-00002A180000}"/>
    <cellStyle name="Migliaia [0] 6" xfId="6108" xr:uid="{00000000-0005-0000-0000-00002B180000}"/>
    <cellStyle name="Migliaia [0] 6 2" xfId="6109" xr:uid="{00000000-0005-0000-0000-00002C180000}"/>
    <cellStyle name="Migliaia [0] 6 2 2" xfId="6110" xr:uid="{00000000-0005-0000-0000-00002D180000}"/>
    <cellStyle name="Migliaia [0] 6 2 2 2" xfId="6111" xr:uid="{00000000-0005-0000-0000-00002E180000}"/>
    <cellStyle name="Migliaia [0] 6 2 3" xfId="6112" xr:uid="{00000000-0005-0000-0000-00002F180000}"/>
    <cellStyle name="Migliaia [0] 6 3" xfId="6113" xr:uid="{00000000-0005-0000-0000-000030180000}"/>
    <cellStyle name="Migliaia [0] 6 3 2" xfId="6114" xr:uid="{00000000-0005-0000-0000-000031180000}"/>
    <cellStyle name="Migliaia [0] 6 4" xfId="6115" xr:uid="{00000000-0005-0000-0000-000032180000}"/>
    <cellStyle name="Migliaia [0] 6 5" xfId="6116" xr:uid="{00000000-0005-0000-0000-000033180000}"/>
    <cellStyle name="Migliaia [0] 7" xfId="6117" xr:uid="{00000000-0005-0000-0000-000034180000}"/>
    <cellStyle name="Migliaia [0] 7 2" xfId="6118" xr:uid="{00000000-0005-0000-0000-000035180000}"/>
    <cellStyle name="Migliaia [0] 7 2 2" xfId="6119" xr:uid="{00000000-0005-0000-0000-000036180000}"/>
    <cellStyle name="Migliaia [0] 7 3" xfId="6120" xr:uid="{00000000-0005-0000-0000-000037180000}"/>
    <cellStyle name="Migliaia [0] 7 4" xfId="6121" xr:uid="{00000000-0005-0000-0000-000038180000}"/>
    <cellStyle name="Migliaia [0] 8" xfId="6122" xr:uid="{00000000-0005-0000-0000-000039180000}"/>
    <cellStyle name="Migliaia [0] 8 2" xfId="6123" xr:uid="{00000000-0005-0000-0000-00003A180000}"/>
    <cellStyle name="Migliaia [0] 9" xfId="6124" xr:uid="{00000000-0005-0000-0000-00003B180000}"/>
    <cellStyle name="Migliaia [0] 9 2" xfId="6125" xr:uid="{00000000-0005-0000-0000-00003C180000}"/>
    <cellStyle name="Migliaia 10" xfId="6126" xr:uid="{00000000-0005-0000-0000-00003D180000}"/>
    <cellStyle name="Migliaia 10 2" xfId="6127" xr:uid="{00000000-0005-0000-0000-00003E180000}"/>
    <cellStyle name="Migliaia 10 2 2" xfId="6128" xr:uid="{00000000-0005-0000-0000-00003F180000}"/>
    <cellStyle name="Migliaia 10 3" xfId="6129" xr:uid="{00000000-0005-0000-0000-000040180000}"/>
    <cellStyle name="Migliaia 11" xfId="6130" xr:uid="{00000000-0005-0000-0000-000041180000}"/>
    <cellStyle name="Migliaia 11 2" xfId="6131" xr:uid="{00000000-0005-0000-0000-000042180000}"/>
    <cellStyle name="Migliaia 11 2 2" xfId="6132" xr:uid="{00000000-0005-0000-0000-000043180000}"/>
    <cellStyle name="Migliaia 11 3" xfId="6133" xr:uid="{00000000-0005-0000-0000-000044180000}"/>
    <cellStyle name="Migliaia 12" xfId="6134" xr:uid="{00000000-0005-0000-0000-000045180000}"/>
    <cellStyle name="Migliaia 12 2" xfId="6135" xr:uid="{00000000-0005-0000-0000-000046180000}"/>
    <cellStyle name="Migliaia 12 2 2" xfId="6136" xr:uid="{00000000-0005-0000-0000-000047180000}"/>
    <cellStyle name="Migliaia 12 3" xfId="6137" xr:uid="{00000000-0005-0000-0000-000048180000}"/>
    <cellStyle name="Migliaia 13" xfId="6138" xr:uid="{00000000-0005-0000-0000-000049180000}"/>
    <cellStyle name="Migliaia 13 2" xfId="6139" xr:uid="{00000000-0005-0000-0000-00004A180000}"/>
    <cellStyle name="Migliaia 13 2 2" xfId="6140" xr:uid="{00000000-0005-0000-0000-00004B180000}"/>
    <cellStyle name="Migliaia 13 3" xfId="6141" xr:uid="{00000000-0005-0000-0000-00004C180000}"/>
    <cellStyle name="Migliaia 14" xfId="6142" xr:uid="{00000000-0005-0000-0000-00004D180000}"/>
    <cellStyle name="Migliaia 14 2" xfId="6143" xr:uid="{00000000-0005-0000-0000-00004E180000}"/>
    <cellStyle name="Migliaia 14 2 2" xfId="6144" xr:uid="{00000000-0005-0000-0000-00004F180000}"/>
    <cellStyle name="Migliaia 14 3" xfId="6145" xr:uid="{00000000-0005-0000-0000-000050180000}"/>
    <cellStyle name="Migliaia 15" xfId="6146" xr:uid="{00000000-0005-0000-0000-000051180000}"/>
    <cellStyle name="Migliaia 15 2" xfId="6147" xr:uid="{00000000-0005-0000-0000-000052180000}"/>
    <cellStyle name="Migliaia 15 2 2" xfId="6148" xr:uid="{00000000-0005-0000-0000-000053180000}"/>
    <cellStyle name="Migliaia 15 3" xfId="6149" xr:uid="{00000000-0005-0000-0000-000054180000}"/>
    <cellStyle name="Migliaia 16" xfId="6150" xr:uid="{00000000-0005-0000-0000-000055180000}"/>
    <cellStyle name="Migliaia 16 2" xfId="6151" xr:uid="{00000000-0005-0000-0000-000056180000}"/>
    <cellStyle name="Migliaia 16 2 2" xfId="6152" xr:uid="{00000000-0005-0000-0000-000057180000}"/>
    <cellStyle name="Migliaia 16 3" xfId="6153" xr:uid="{00000000-0005-0000-0000-000058180000}"/>
    <cellStyle name="Migliaia 17" xfId="6154" xr:uid="{00000000-0005-0000-0000-000059180000}"/>
    <cellStyle name="Migliaia 17 2" xfId="6155" xr:uid="{00000000-0005-0000-0000-00005A180000}"/>
    <cellStyle name="Migliaia 17 2 2" xfId="6156" xr:uid="{00000000-0005-0000-0000-00005B180000}"/>
    <cellStyle name="Migliaia 17 3" xfId="6157" xr:uid="{00000000-0005-0000-0000-00005C180000}"/>
    <cellStyle name="Migliaia 18" xfId="6158" xr:uid="{00000000-0005-0000-0000-00005D180000}"/>
    <cellStyle name="Migliaia 18 2" xfId="6159" xr:uid="{00000000-0005-0000-0000-00005E180000}"/>
    <cellStyle name="Migliaia 18 2 2" xfId="6160" xr:uid="{00000000-0005-0000-0000-00005F180000}"/>
    <cellStyle name="Migliaia 18 3" xfId="6161" xr:uid="{00000000-0005-0000-0000-000060180000}"/>
    <cellStyle name="Migliaia 19" xfId="6162" xr:uid="{00000000-0005-0000-0000-000061180000}"/>
    <cellStyle name="Migliaia 19 2" xfId="6163" xr:uid="{00000000-0005-0000-0000-000062180000}"/>
    <cellStyle name="Migliaia 19 2 2" xfId="6164" xr:uid="{00000000-0005-0000-0000-000063180000}"/>
    <cellStyle name="Migliaia 19 3" xfId="6165" xr:uid="{00000000-0005-0000-0000-000064180000}"/>
    <cellStyle name="Migliaia 2" xfId="6166" xr:uid="{00000000-0005-0000-0000-000065180000}"/>
    <cellStyle name="Migliaia 2 2" xfId="6167" xr:uid="{00000000-0005-0000-0000-000066180000}"/>
    <cellStyle name="Migliaia 2 2 2" xfId="6168" xr:uid="{00000000-0005-0000-0000-000067180000}"/>
    <cellStyle name="Migliaia 2 2 2 2" xfId="6169" xr:uid="{00000000-0005-0000-0000-000068180000}"/>
    <cellStyle name="Migliaia 2 2 3" xfId="6170" xr:uid="{00000000-0005-0000-0000-000069180000}"/>
    <cellStyle name="Migliaia 2 3" xfId="6171" xr:uid="{00000000-0005-0000-0000-00006A180000}"/>
    <cellStyle name="Migliaia 2 3 2" xfId="6172" xr:uid="{00000000-0005-0000-0000-00006B180000}"/>
    <cellStyle name="Migliaia 2 4" xfId="6173" xr:uid="{00000000-0005-0000-0000-00006C180000}"/>
    <cellStyle name="Migliaia 20" xfId="6174" xr:uid="{00000000-0005-0000-0000-00006D180000}"/>
    <cellStyle name="Migliaia 20 2" xfId="6175" xr:uid="{00000000-0005-0000-0000-00006E180000}"/>
    <cellStyle name="Migliaia 20 2 2" xfId="6176" xr:uid="{00000000-0005-0000-0000-00006F180000}"/>
    <cellStyle name="Migliaia 20 3" xfId="6177" xr:uid="{00000000-0005-0000-0000-000070180000}"/>
    <cellStyle name="Migliaia 21" xfId="6178" xr:uid="{00000000-0005-0000-0000-000071180000}"/>
    <cellStyle name="Migliaia 21 2" xfId="6179" xr:uid="{00000000-0005-0000-0000-000072180000}"/>
    <cellStyle name="Migliaia 21 2 2" xfId="6180" xr:uid="{00000000-0005-0000-0000-000073180000}"/>
    <cellStyle name="Migliaia 21 3" xfId="6181" xr:uid="{00000000-0005-0000-0000-000074180000}"/>
    <cellStyle name="Migliaia 22" xfId="6182" xr:uid="{00000000-0005-0000-0000-000075180000}"/>
    <cellStyle name="Migliaia 22 2" xfId="6183" xr:uid="{00000000-0005-0000-0000-000076180000}"/>
    <cellStyle name="Migliaia 22 2 2" xfId="6184" xr:uid="{00000000-0005-0000-0000-000077180000}"/>
    <cellStyle name="Migliaia 22 3" xfId="6185" xr:uid="{00000000-0005-0000-0000-000078180000}"/>
    <cellStyle name="Migliaia 23" xfId="6186" xr:uid="{00000000-0005-0000-0000-000079180000}"/>
    <cellStyle name="Migliaia 23 2" xfId="6187" xr:uid="{00000000-0005-0000-0000-00007A180000}"/>
    <cellStyle name="Migliaia 23 2 2" xfId="6188" xr:uid="{00000000-0005-0000-0000-00007B180000}"/>
    <cellStyle name="Migliaia 23 3" xfId="6189" xr:uid="{00000000-0005-0000-0000-00007C180000}"/>
    <cellStyle name="Migliaia 24" xfId="6190" xr:uid="{00000000-0005-0000-0000-00007D180000}"/>
    <cellStyle name="Migliaia 24 2" xfId="6191" xr:uid="{00000000-0005-0000-0000-00007E180000}"/>
    <cellStyle name="Migliaia 24 2 2" xfId="6192" xr:uid="{00000000-0005-0000-0000-00007F180000}"/>
    <cellStyle name="Migliaia 24 3" xfId="6193" xr:uid="{00000000-0005-0000-0000-000080180000}"/>
    <cellStyle name="Migliaia 25" xfId="6194" xr:uid="{00000000-0005-0000-0000-000081180000}"/>
    <cellStyle name="Migliaia 25 2" xfId="6195" xr:uid="{00000000-0005-0000-0000-000082180000}"/>
    <cellStyle name="Migliaia 25 2 2" xfId="6196" xr:uid="{00000000-0005-0000-0000-000083180000}"/>
    <cellStyle name="Migliaia 25 3" xfId="6197" xr:uid="{00000000-0005-0000-0000-000084180000}"/>
    <cellStyle name="Migliaia 26" xfId="6198" xr:uid="{00000000-0005-0000-0000-000085180000}"/>
    <cellStyle name="Migliaia 26 2" xfId="6199" xr:uid="{00000000-0005-0000-0000-000086180000}"/>
    <cellStyle name="Migliaia 26 2 2" xfId="6200" xr:uid="{00000000-0005-0000-0000-000087180000}"/>
    <cellStyle name="Migliaia 26 3" xfId="6201" xr:uid="{00000000-0005-0000-0000-000088180000}"/>
    <cellStyle name="Migliaia 27" xfId="6202" xr:uid="{00000000-0005-0000-0000-000089180000}"/>
    <cellStyle name="Migliaia 27 2" xfId="6203" xr:uid="{00000000-0005-0000-0000-00008A180000}"/>
    <cellStyle name="Migliaia 27 2 2" xfId="6204" xr:uid="{00000000-0005-0000-0000-00008B180000}"/>
    <cellStyle name="Migliaia 27 3" xfId="6205" xr:uid="{00000000-0005-0000-0000-00008C180000}"/>
    <cellStyle name="Migliaia 28" xfId="6206" xr:uid="{00000000-0005-0000-0000-00008D180000}"/>
    <cellStyle name="Migliaia 28 2" xfId="6207" xr:uid="{00000000-0005-0000-0000-00008E180000}"/>
    <cellStyle name="Migliaia 28 2 2" xfId="6208" xr:uid="{00000000-0005-0000-0000-00008F180000}"/>
    <cellStyle name="Migliaia 28 3" xfId="6209" xr:uid="{00000000-0005-0000-0000-000090180000}"/>
    <cellStyle name="Migliaia 29" xfId="6210" xr:uid="{00000000-0005-0000-0000-000091180000}"/>
    <cellStyle name="Migliaia 29 2" xfId="6211" xr:uid="{00000000-0005-0000-0000-000092180000}"/>
    <cellStyle name="Migliaia 29 3" xfId="14810" xr:uid="{00000000-0005-0000-0000-000093180000}"/>
    <cellStyle name="Migliaia 3" xfId="6212" xr:uid="{00000000-0005-0000-0000-000094180000}"/>
    <cellStyle name="Migliaia 3 2" xfId="6213" xr:uid="{00000000-0005-0000-0000-000095180000}"/>
    <cellStyle name="Migliaia 3 2 2" xfId="6214" xr:uid="{00000000-0005-0000-0000-000096180000}"/>
    <cellStyle name="Migliaia 3 2 2 2" xfId="6215" xr:uid="{00000000-0005-0000-0000-000097180000}"/>
    <cellStyle name="Migliaia 3 2 3" xfId="6216" xr:uid="{00000000-0005-0000-0000-000098180000}"/>
    <cellStyle name="Migliaia 3 3" xfId="6217" xr:uid="{00000000-0005-0000-0000-000099180000}"/>
    <cellStyle name="Migliaia 3 3 2" xfId="6218" xr:uid="{00000000-0005-0000-0000-00009A180000}"/>
    <cellStyle name="Migliaia 3 4" xfId="6219" xr:uid="{00000000-0005-0000-0000-00009B180000}"/>
    <cellStyle name="Migliaia 30" xfId="6220" xr:uid="{00000000-0005-0000-0000-00009C180000}"/>
    <cellStyle name="Migliaia 30 2" xfId="6221" xr:uid="{00000000-0005-0000-0000-00009D180000}"/>
    <cellStyle name="Migliaia 30 3" xfId="14811" xr:uid="{00000000-0005-0000-0000-00009E180000}"/>
    <cellStyle name="Migliaia 31" xfId="6222" xr:uid="{00000000-0005-0000-0000-00009F180000}"/>
    <cellStyle name="Migliaia 31 2" xfId="6223" xr:uid="{00000000-0005-0000-0000-0000A0180000}"/>
    <cellStyle name="Migliaia 31 2 2" xfId="6224" xr:uid="{00000000-0005-0000-0000-0000A1180000}"/>
    <cellStyle name="Migliaia 31 2 2 2" xfId="6225" xr:uid="{00000000-0005-0000-0000-0000A2180000}"/>
    <cellStyle name="Migliaia 31 2 3" xfId="6226" xr:uid="{00000000-0005-0000-0000-0000A3180000}"/>
    <cellStyle name="Migliaia 31 3" xfId="6227" xr:uid="{00000000-0005-0000-0000-0000A4180000}"/>
    <cellStyle name="Migliaia 31 3 2" xfId="6228" xr:uid="{00000000-0005-0000-0000-0000A5180000}"/>
    <cellStyle name="Migliaia 31 4" xfId="6229" xr:uid="{00000000-0005-0000-0000-0000A6180000}"/>
    <cellStyle name="Migliaia 31 5" xfId="6230" xr:uid="{00000000-0005-0000-0000-0000A7180000}"/>
    <cellStyle name="Migliaia 32" xfId="6231" xr:uid="{00000000-0005-0000-0000-0000A8180000}"/>
    <cellStyle name="Migliaia 32 2" xfId="6232" xr:uid="{00000000-0005-0000-0000-0000A9180000}"/>
    <cellStyle name="Migliaia 32 2 2" xfId="6233" xr:uid="{00000000-0005-0000-0000-0000AA180000}"/>
    <cellStyle name="Migliaia 32 3" xfId="6234" xr:uid="{00000000-0005-0000-0000-0000AB180000}"/>
    <cellStyle name="Migliaia 32 4" xfId="6235" xr:uid="{00000000-0005-0000-0000-0000AC180000}"/>
    <cellStyle name="Migliaia 33" xfId="6236" xr:uid="{00000000-0005-0000-0000-0000AD180000}"/>
    <cellStyle name="Migliaia 33 2" xfId="6237" xr:uid="{00000000-0005-0000-0000-0000AE180000}"/>
    <cellStyle name="Migliaia 33 2 2" xfId="6238" xr:uid="{00000000-0005-0000-0000-0000AF180000}"/>
    <cellStyle name="Migliaia 33 3" xfId="6239" xr:uid="{00000000-0005-0000-0000-0000B0180000}"/>
    <cellStyle name="Migliaia 33 4" xfId="6240" xr:uid="{00000000-0005-0000-0000-0000B1180000}"/>
    <cellStyle name="Migliaia 34" xfId="6241" xr:uid="{00000000-0005-0000-0000-0000B2180000}"/>
    <cellStyle name="Migliaia 34 2" xfId="6242" xr:uid="{00000000-0005-0000-0000-0000B3180000}"/>
    <cellStyle name="Migliaia 35" xfId="6243" xr:uid="{00000000-0005-0000-0000-0000B4180000}"/>
    <cellStyle name="Migliaia 35 2" xfId="6244" xr:uid="{00000000-0005-0000-0000-0000B5180000}"/>
    <cellStyle name="Migliaia 36" xfId="6245" xr:uid="{00000000-0005-0000-0000-0000B6180000}"/>
    <cellStyle name="Migliaia 36 2" xfId="6246" xr:uid="{00000000-0005-0000-0000-0000B7180000}"/>
    <cellStyle name="Migliaia 37" xfId="6247" xr:uid="{00000000-0005-0000-0000-0000B8180000}"/>
    <cellStyle name="Migliaia 37 2" xfId="6248" xr:uid="{00000000-0005-0000-0000-0000B9180000}"/>
    <cellStyle name="Migliaia 38" xfId="6249" xr:uid="{00000000-0005-0000-0000-0000BA180000}"/>
    <cellStyle name="Migliaia 38 2" xfId="6250" xr:uid="{00000000-0005-0000-0000-0000BB180000}"/>
    <cellStyle name="Migliaia 39" xfId="6251" xr:uid="{00000000-0005-0000-0000-0000BC180000}"/>
    <cellStyle name="Migliaia 39 2" xfId="6252" xr:uid="{00000000-0005-0000-0000-0000BD180000}"/>
    <cellStyle name="Migliaia 4" xfId="6253" xr:uid="{00000000-0005-0000-0000-0000BE180000}"/>
    <cellStyle name="Migliaia 4 2" xfId="6254" xr:uid="{00000000-0005-0000-0000-0000BF180000}"/>
    <cellStyle name="Migliaia 4 2 2" xfId="6255" xr:uid="{00000000-0005-0000-0000-0000C0180000}"/>
    <cellStyle name="Migliaia 4 3" xfId="6256" xr:uid="{00000000-0005-0000-0000-0000C1180000}"/>
    <cellStyle name="Migliaia 40" xfId="6257" xr:uid="{00000000-0005-0000-0000-0000C2180000}"/>
    <cellStyle name="Migliaia 40 2" xfId="6258" xr:uid="{00000000-0005-0000-0000-0000C3180000}"/>
    <cellStyle name="Migliaia 41" xfId="6259" xr:uid="{00000000-0005-0000-0000-0000C4180000}"/>
    <cellStyle name="Migliaia 41 2" xfId="6260" xr:uid="{00000000-0005-0000-0000-0000C5180000}"/>
    <cellStyle name="Migliaia 42" xfId="6261" xr:uid="{00000000-0005-0000-0000-0000C6180000}"/>
    <cellStyle name="Migliaia 42 2" xfId="6262" xr:uid="{00000000-0005-0000-0000-0000C7180000}"/>
    <cellStyle name="Migliaia 43" xfId="6263" xr:uid="{00000000-0005-0000-0000-0000C8180000}"/>
    <cellStyle name="Migliaia 43 2" xfId="6264" xr:uid="{00000000-0005-0000-0000-0000C9180000}"/>
    <cellStyle name="Migliaia 44" xfId="6265" xr:uid="{00000000-0005-0000-0000-0000CA180000}"/>
    <cellStyle name="Migliaia 44 2" xfId="6266" xr:uid="{00000000-0005-0000-0000-0000CB180000}"/>
    <cellStyle name="Migliaia 45" xfId="6267" xr:uid="{00000000-0005-0000-0000-0000CC180000}"/>
    <cellStyle name="Migliaia 45 2" xfId="6268" xr:uid="{00000000-0005-0000-0000-0000CD180000}"/>
    <cellStyle name="Migliaia 46" xfId="6269" xr:uid="{00000000-0005-0000-0000-0000CE180000}"/>
    <cellStyle name="Migliaia 46 2" xfId="6270" xr:uid="{00000000-0005-0000-0000-0000CF180000}"/>
    <cellStyle name="Migliaia 47" xfId="6271" xr:uid="{00000000-0005-0000-0000-0000D0180000}"/>
    <cellStyle name="Migliaia 47 2" xfId="6272" xr:uid="{00000000-0005-0000-0000-0000D1180000}"/>
    <cellStyle name="Migliaia 48" xfId="6273" xr:uid="{00000000-0005-0000-0000-0000D2180000}"/>
    <cellStyle name="Migliaia 48 2" xfId="6274" xr:uid="{00000000-0005-0000-0000-0000D3180000}"/>
    <cellStyle name="Migliaia 49" xfId="6275" xr:uid="{00000000-0005-0000-0000-0000D4180000}"/>
    <cellStyle name="Migliaia 49 2" xfId="6276" xr:uid="{00000000-0005-0000-0000-0000D5180000}"/>
    <cellStyle name="Migliaia 5" xfId="6277" xr:uid="{00000000-0005-0000-0000-0000D6180000}"/>
    <cellStyle name="Migliaia 5 2" xfId="6278" xr:uid="{00000000-0005-0000-0000-0000D7180000}"/>
    <cellStyle name="Migliaia 5 2 2" xfId="6279" xr:uid="{00000000-0005-0000-0000-0000D8180000}"/>
    <cellStyle name="Migliaia 5 3" xfId="6280" xr:uid="{00000000-0005-0000-0000-0000D9180000}"/>
    <cellStyle name="Migliaia 5 4" xfId="6281" xr:uid="{00000000-0005-0000-0000-0000DA180000}"/>
    <cellStyle name="Migliaia 50" xfId="6282" xr:uid="{00000000-0005-0000-0000-0000DB180000}"/>
    <cellStyle name="Migliaia 50 2" xfId="6283" xr:uid="{00000000-0005-0000-0000-0000DC180000}"/>
    <cellStyle name="Migliaia 51" xfId="6284" xr:uid="{00000000-0005-0000-0000-0000DD180000}"/>
    <cellStyle name="Migliaia 51 2" xfId="6285" xr:uid="{00000000-0005-0000-0000-0000DE180000}"/>
    <cellStyle name="Migliaia 52" xfId="6286" xr:uid="{00000000-0005-0000-0000-0000DF180000}"/>
    <cellStyle name="Migliaia 52 2" xfId="6287" xr:uid="{00000000-0005-0000-0000-0000E0180000}"/>
    <cellStyle name="Migliaia 53" xfId="6288" xr:uid="{00000000-0005-0000-0000-0000E1180000}"/>
    <cellStyle name="Migliaia 53 2" xfId="6289" xr:uid="{00000000-0005-0000-0000-0000E2180000}"/>
    <cellStyle name="Migliaia 54" xfId="6290" xr:uid="{00000000-0005-0000-0000-0000E3180000}"/>
    <cellStyle name="Migliaia 54 2" xfId="6291" xr:uid="{00000000-0005-0000-0000-0000E4180000}"/>
    <cellStyle name="Migliaia 55" xfId="6292" xr:uid="{00000000-0005-0000-0000-0000E5180000}"/>
    <cellStyle name="Migliaia 55 2" xfId="6293" xr:uid="{00000000-0005-0000-0000-0000E6180000}"/>
    <cellStyle name="Migliaia 56" xfId="6294" xr:uid="{00000000-0005-0000-0000-0000E7180000}"/>
    <cellStyle name="Migliaia 56 2" xfId="6295" xr:uid="{00000000-0005-0000-0000-0000E8180000}"/>
    <cellStyle name="Migliaia 57" xfId="6296" xr:uid="{00000000-0005-0000-0000-0000E9180000}"/>
    <cellStyle name="Migliaia 57 2" xfId="6297" xr:uid="{00000000-0005-0000-0000-0000EA180000}"/>
    <cellStyle name="Migliaia 58" xfId="6298" xr:uid="{00000000-0005-0000-0000-0000EB180000}"/>
    <cellStyle name="Migliaia 58 2" xfId="6299" xr:uid="{00000000-0005-0000-0000-0000EC180000}"/>
    <cellStyle name="Migliaia 59" xfId="6300" xr:uid="{00000000-0005-0000-0000-0000ED180000}"/>
    <cellStyle name="Migliaia 59 2" xfId="6301" xr:uid="{00000000-0005-0000-0000-0000EE180000}"/>
    <cellStyle name="Migliaia 6" xfId="6302" xr:uid="{00000000-0005-0000-0000-0000EF180000}"/>
    <cellStyle name="Migliaia 6 2" xfId="6303" xr:uid="{00000000-0005-0000-0000-0000F0180000}"/>
    <cellStyle name="Migliaia 6 2 2" xfId="6304" xr:uid="{00000000-0005-0000-0000-0000F1180000}"/>
    <cellStyle name="Migliaia 6 3" xfId="6305" xr:uid="{00000000-0005-0000-0000-0000F2180000}"/>
    <cellStyle name="Migliaia 60" xfId="6306" xr:uid="{00000000-0005-0000-0000-0000F3180000}"/>
    <cellStyle name="Migliaia 60 2" xfId="6307" xr:uid="{00000000-0005-0000-0000-0000F4180000}"/>
    <cellStyle name="Migliaia 7" xfId="6308" xr:uid="{00000000-0005-0000-0000-0000F5180000}"/>
    <cellStyle name="Migliaia 7 2" xfId="6309" xr:uid="{00000000-0005-0000-0000-0000F6180000}"/>
    <cellStyle name="Migliaia 7 2 2" xfId="6310" xr:uid="{00000000-0005-0000-0000-0000F7180000}"/>
    <cellStyle name="Migliaia 7 3" xfId="6311" xr:uid="{00000000-0005-0000-0000-0000F8180000}"/>
    <cellStyle name="Migliaia 8" xfId="6312" xr:uid="{00000000-0005-0000-0000-0000F9180000}"/>
    <cellStyle name="Migliaia 8 2" xfId="6313" xr:uid="{00000000-0005-0000-0000-0000FA180000}"/>
    <cellStyle name="Migliaia 8 2 2" xfId="6314" xr:uid="{00000000-0005-0000-0000-0000FB180000}"/>
    <cellStyle name="Migliaia 8 3" xfId="6315" xr:uid="{00000000-0005-0000-0000-0000FC180000}"/>
    <cellStyle name="Migliaia 9" xfId="6316" xr:uid="{00000000-0005-0000-0000-0000FD180000}"/>
    <cellStyle name="Migliaia 9 2" xfId="6317" xr:uid="{00000000-0005-0000-0000-0000FE180000}"/>
    <cellStyle name="Migliaia 9 2 2" xfId="6318" xr:uid="{00000000-0005-0000-0000-0000FF180000}"/>
    <cellStyle name="Migliaia 9 3" xfId="6319" xr:uid="{00000000-0005-0000-0000-000000190000}"/>
    <cellStyle name="Milliers 10" xfId="6320" xr:uid="{00000000-0005-0000-0000-000001190000}"/>
    <cellStyle name="Milliers 10 2" xfId="6321" xr:uid="{00000000-0005-0000-0000-000002190000}"/>
    <cellStyle name="Milliers 11" xfId="6322" xr:uid="{00000000-0005-0000-0000-000003190000}"/>
    <cellStyle name="Milliers 12" xfId="10" xr:uid="{00000000-0005-0000-0000-000004190000}"/>
    <cellStyle name="Milliers 2" xfId="16" xr:uid="{00000000-0005-0000-0000-000005190000}"/>
    <cellStyle name="Milliers 2 2" xfId="6323" xr:uid="{00000000-0005-0000-0000-000006190000}"/>
    <cellStyle name="Milliers 2 2 2" xfId="6324" xr:uid="{00000000-0005-0000-0000-000007190000}"/>
    <cellStyle name="Milliers 2 2 2 2" xfId="6325" xr:uid="{00000000-0005-0000-0000-000008190000}"/>
    <cellStyle name="Milliers 2 2 3" xfId="6326" xr:uid="{00000000-0005-0000-0000-000009190000}"/>
    <cellStyle name="Milliers 2 2 4" xfId="6327" xr:uid="{00000000-0005-0000-0000-00000A190000}"/>
    <cellStyle name="Milliers 2 2 5" xfId="6328" xr:uid="{00000000-0005-0000-0000-00000B190000}"/>
    <cellStyle name="Milliers 2 3" xfId="6329" xr:uid="{00000000-0005-0000-0000-00000C190000}"/>
    <cellStyle name="Milliers 2 4" xfId="6330" xr:uid="{00000000-0005-0000-0000-00000D190000}"/>
    <cellStyle name="Milliers 2 4 2" xfId="6331" xr:uid="{00000000-0005-0000-0000-00000E190000}"/>
    <cellStyle name="Milliers 2 5" xfId="6332" xr:uid="{00000000-0005-0000-0000-00000F190000}"/>
    <cellStyle name="Milliers 3" xfId="6333" xr:uid="{00000000-0005-0000-0000-000010190000}"/>
    <cellStyle name="Milliers 3 2" xfId="6334" xr:uid="{00000000-0005-0000-0000-000011190000}"/>
    <cellStyle name="Milliers 3 2 2" xfId="6335" xr:uid="{00000000-0005-0000-0000-000012190000}"/>
    <cellStyle name="Milliers 4" xfId="6336" xr:uid="{00000000-0005-0000-0000-000013190000}"/>
    <cellStyle name="Milliers 4 2" xfId="6337" xr:uid="{00000000-0005-0000-0000-000014190000}"/>
    <cellStyle name="Milliers 4 3" xfId="6338" xr:uid="{00000000-0005-0000-0000-000015190000}"/>
    <cellStyle name="Milliers 4 4" xfId="6339" xr:uid="{00000000-0005-0000-0000-000016190000}"/>
    <cellStyle name="Milliers 5" xfId="6340" xr:uid="{00000000-0005-0000-0000-000017190000}"/>
    <cellStyle name="Milliers 5 2" xfId="6341" xr:uid="{00000000-0005-0000-0000-000018190000}"/>
    <cellStyle name="Milliers 5 3" xfId="6342" xr:uid="{00000000-0005-0000-0000-000019190000}"/>
    <cellStyle name="Milliers 5 4" xfId="6343" xr:uid="{00000000-0005-0000-0000-00001A190000}"/>
    <cellStyle name="Milliers 6" xfId="6344" xr:uid="{00000000-0005-0000-0000-00001B190000}"/>
    <cellStyle name="Milliers 6 2" xfId="6345" xr:uid="{00000000-0005-0000-0000-00001C190000}"/>
    <cellStyle name="Milliers 6 3" xfId="6346" xr:uid="{00000000-0005-0000-0000-00001D190000}"/>
    <cellStyle name="Milliers 6 4" xfId="6347" xr:uid="{00000000-0005-0000-0000-00001E190000}"/>
    <cellStyle name="Milliers 7" xfId="6348" xr:uid="{00000000-0005-0000-0000-00001F190000}"/>
    <cellStyle name="Milliers 7 2" xfId="6349" xr:uid="{00000000-0005-0000-0000-000020190000}"/>
    <cellStyle name="Milliers 7 3" xfId="6350" xr:uid="{00000000-0005-0000-0000-000021190000}"/>
    <cellStyle name="Milliers 8" xfId="6351" xr:uid="{00000000-0005-0000-0000-000022190000}"/>
    <cellStyle name="Milliers 8 2" xfId="6352" xr:uid="{00000000-0005-0000-0000-000023190000}"/>
    <cellStyle name="Milliers 9" xfId="6353" xr:uid="{00000000-0005-0000-0000-000024190000}"/>
    <cellStyle name="Milliers 9 2" xfId="6354" xr:uid="{00000000-0005-0000-0000-000025190000}"/>
    <cellStyle name="Milliers(0)" xfId="6355" xr:uid="{00000000-0005-0000-0000-000026190000}"/>
    <cellStyle name="Milliers(1)" xfId="6356" xr:uid="{00000000-0005-0000-0000-000027190000}"/>
    <cellStyle name="Milliers(2)" xfId="6357" xr:uid="{00000000-0005-0000-0000-000028190000}"/>
    <cellStyle name="Milliers0" xfId="6358" xr:uid="{00000000-0005-0000-0000-000029190000}"/>
    <cellStyle name="Milliers0 2" xfId="6359" xr:uid="{00000000-0005-0000-0000-00002A190000}"/>
    <cellStyle name="Milliers0 3" xfId="6360" xr:uid="{00000000-0005-0000-0000-00002B190000}"/>
    <cellStyle name="million" xfId="6361" xr:uid="{00000000-0005-0000-0000-00002C190000}"/>
    <cellStyle name="Millions" xfId="6362" xr:uid="{00000000-0005-0000-0000-00002D190000}"/>
    <cellStyle name="Millions [1]" xfId="6363" xr:uid="{00000000-0005-0000-0000-00002E190000}"/>
    <cellStyle name="Millions 2" xfId="14686" xr:uid="{00000000-0005-0000-0000-00002F190000}"/>
    <cellStyle name="Millions 3" xfId="14701" xr:uid="{00000000-0005-0000-0000-000030190000}"/>
    <cellStyle name="Millions 4" xfId="14697" xr:uid="{00000000-0005-0000-0000-000031190000}"/>
    <cellStyle name="Minor heading" xfId="6364" xr:uid="{00000000-0005-0000-0000-000032190000}"/>
    <cellStyle name="Modelling References" xfId="6365" xr:uid="{00000000-0005-0000-0000-000033190000}"/>
    <cellStyle name="Monétaire 2" xfId="6366" xr:uid="{00000000-0005-0000-0000-000034190000}"/>
    <cellStyle name="Monétaire 2 2" xfId="6367" xr:uid="{00000000-0005-0000-0000-000035190000}"/>
    <cellStyle name="Monétaire 2 3" xfId="6368" xr:uid="{00000000-0005-0000-0000-000036190000}"/>
    <cellStyle name="Monétaire 3" xfId="6369" xr:uid="{00000000-0005-0000-0000-000037190000}"/>
    <cellStyle name="Monétaire 4" xfId="6370" xr:uid="{00000000-0005-0000-0000-000038190000}"/>
    <cellStyle name="Month" xfId="6371" xr:uid="{00000000-0005-0000-0000-000039190000}"/>
    <cellStyle name="Monthly rate" xfId="6372" xr:uid="{00000000-0005-0000-0000-00003A190000}"/>
    <cellStyle name="Motif" xfId="6373" xr:uid="{00000000-0005-0000-0000-00003B190000}"/>
    <cellStyle name="motif1" xfId="6374" xr:uid="{00000000-0005-0000-0000-00003C190000}"/>
    <cellStyle name="Multiple" xfId="6375" xr:uid="{00000000-0005-0000-0000-00003D190000}"/>
    <cellStyle name="Märkus" xfId="5883" xr:uid="{00000000-0005-0000-0000-00004A170000}"/>
    <cellStyle name="Märkus 10" xfId="5884" xr:uid="{00000000-0005-0000-0000-00004B170000}"/>
    <cellStyle name="Märkus 10 2" xfId="5885" xr:uid="{00000000-0005-0000-0000-00004C170000}"/>
    <cellStyle name="Märkus 10 2 2" xfId="5886" xr:uid="{00000000-0005-0000-0000-00004D170000}"/>
    <cellStyle name="Märkus 10 2 3" xfId="5887" xr:uid="{00000000-0005-0000-0000-00004E170000}"/>
    <cellStyle name="Märkus 10 2 4" xfId="5888" xr:uid="{00000000-0005-0000-0000-00004F170000}"/>
    <cellStyle name="Märkus 10 2 5" xfId="5889" xr:uid="{00000000-0005-0000-0000-000050170000}"/>
    <cellStyle name="Märkus 10 3" xfId="5890" xr:uid="{00000000-0005-0000-0000-000051170000}"/>
    <cellStyle name="Märkus 10 4" xfId="5891" xr:uid="{00000000-0005-0000-0000-000052170000}"/>
    <cellStyle name="Märkus 10 5" xfId="5892" xr:uid="{00000000-0005-0000-0000-000053170000}"/>
    <cellStyle name="Märkus 10 6" xfId="5893" xr:uid="{00000000-0005-0000-0000-000054170000}"/>
    <cellStyle name="Märkus 11" xfId="5894" xr:uid="{00000000-0005-0000-0000-000055170000}"/>
    <cellStyle name="Märkus 11 2" xfId="5895" xr:uid="{00000000-0005-0000-0000-000056170000}"/>
    <cellStyle name="Märkus 11 2 2" xfId="5896" xr:uid="{00000000-0005-0000-0000-000057170000}"/>
    <cellStyle name="Märkus 11 2 3" xfId="5897" xr:uid="{00000000-0005-0000-0000-000058170000}"/>
    <cellStyle name="Märkus 11 2 4" xfId="5898" xr:uid="{00000000-0005-0000-0000-000059170000}"/>
    <cellStyle name="Märkus 11 2 5" xfId="5899" xr:uid="{00000000-0005-0000-0000-00005A170000}"/>
    <cellStyle name="Märkus 11 3" xfId="5900" xr:uid="{00000000-0005-0000-0000-00005B170000}"/>
    <cellStyle name="Märkus 11 4" xfId="5901" xr:uid="{00000000-0005-0000-0000-00005C170000}"/>
    <cellStyle name="Märkus 11 5" xfId="5902" xr:uid="{00000000-0005-0000-0000-00005D170000}"/>
    <cellStyle name="Märkus 11 6" xfId="5903" xr:uid="{00000000-0005-0000-0000-00005E170000}"/>
    <cellStyle name="Märkus 12" xfId="5904" xr:uid="{00000000-0005-0000-0000-00005F170000}"/>
    <cellStyle name="Märkus 12 2" xfId="5905" xr:uid="{00000000-0005-0000-0000-000060170000}"/>
    <cellStyle name="Märkus 12 2 2" xfId="5906" xr:uid="{00000000-0005-0000-0000-000061170000}"/>
    <cellStyle name="Märkus 12 2 3" xfId="5907" xr:uid="{00000000-0005-0000-0000-000062170000}"/>
    <cellStyle name="Märkus 12 2 4" xfId="5908" xr:uid="{00000000-0005-0000-0000-000063170000}"/>
    <cellStyle name="Märkus 12 2 5" xfId="5909" xr:uid="{00000000-0005-0000-0000-000064170000}"/>
    <cellStyle name="Märkus 12 3" xfId="5910" xr:uid="{00000000-0005-0000-0000-000065170000}"/>
    <cellStyle name="Märkus 12 4" xfId="5911" xr:uid="{00000000-0005-0000-0000-000066170000}"/>
    <cellStyle name="Märkus 12 5" xfId="5912" xr:uid="{00000000-0005-0000-0000-000067170000}"/>
    <cellStyle name="Märkus 12 6" xfId="5913" xr:uid="{00000000-0005-0000-0000-000068170000}"/>
    <cellStyle name="Märkus 13" xfId="5914" xr:uid="{00000000-0005-0000-0000-000069170000}"/>
    <cellStyle name="Märkus 13 2" xfId="5915" xr:uid="{00000000-0005-0000-0000-00006A170000}"/>
    <cellStyle name="Märkus 13 2 2" xfId="5916" xr:uid="{00000000-0005-0000-0000-00006B170000}"/>
    <cellStyle name="Märkus 13 2 3" xfId="5917" xr:uid="{00000000-0005-0000-0000-00006C170000}"/>
    <cellStyle name="Märkus 13 2 4" xfId="5918" xr:uid="{00000000-0005-0000-0000-00006D170000}"/>
    <cellStyle name="Märkus 13 2 5" xfId="5919" xr:uid="{00000000-0005-0000-0000-00006E170000}"/>
    <cellStyle name="Märkus 13 3" xfId="5920" xr:uid="{00000000-0005-0000-0000-00006F170000}"/>
    <cellStyle name="Märkus 13 4" xfId="5921" xr:uid="{00000000-0005-0000-0000-000070170000}"/>
    <cellStyle name="Märkus 13 5" xfId="5922" xr:uid="{00000000-0005-0000-0000-000071170000}"/>
    <cellStyle name="Märkus 13 6" xfId="5923" xr:uid="{00000000-0005-0000-0000-000072170000}"/>
    <cellStyle name="Märkus 14" xfId="5924" xr:uid="{00000000-0005-0000-0000-000073170000}"/>
    <cellStyle name="Märkus 14 2" xfId="5925" xr:uid="{00000000-0005-0000-0000-000074170000}"/>
    <cellStyle name="Märkus 14 2 2" xfId="5926" xr:uid="{00000000-0005-0000-0000-000075170000}"/>
    <cellStyle name="Märkus 14 2 3" xfId="5927" xr:uid="{00000000-0005-0000-0000-000076170000}"/>
    <cellStyle name="Märkus 14 2 4" xfId="5928" xr:uid="{00000000-0005-0000-0000-000077170000}"/>
    <cellStyle name="Märkus 14 2 5" xfId="5929" xr:uid="{00000000-0005-0000-0000-000078170000}"/>
    <cellStyle name="Märkus 14 3" xfId="5930" xr:uid="{00000000-0005-0000-0000-000079170000}"/>
    <cellStyle name="Märkus 14 4" xfId="5931" xr:uid="{00000000-0005-0000-0000-00007A170000}"/>
    <cellStyle name="Märkus 14 5" xfId="5932" xr:uid="{00000000-0005-0000-0000-00007B170000}"/>
    <cellStyle name="Märkus 14 6" xfId="5933" xr:uid="{00000000-0005-0000-0000-00007C170000}"/>
    <cellStyle name="Märkus 15" xfId="5934" xr:uid="{00000000-0005-0000-0000-00007D170000}"/>
    <cellStyle name="Märkus 15 2" xfId="5935" xr:uid="{00000000-0005-0000-0000-00007E170000}"/>
    <cellStyle name="Märkus 15 2 2" xfId="5936" xr:uid="{00000000-0005-0000-0000-00007F170000}"/>
    <cellStyle name="Märkus 15 2 3" xfId="5937" xr:uid="{00000000-0005-0000-0000-000080170000}"/>
    <cellStyle name="Märkus 15 2 4" xfId="5938" xr:uid="{00000000-0005-0000-0000-000081170000}"/>
    <cellStyle name="Märkus 15 2 5" xfId="5939" xr:uid="{00000000-0005-0000-0000-000082170000}"/>
    <cellStyle name="Märkus 15 3" xfId="5940" xr:uid="{00000000-0005-0000-0000-000083170000}"/>
    <cellStyle name="Märkus 15 4" xfId="5941" xr:uid="{00000000-0005-0000-0000-000084170000}"/>
    <cellStyle name="Märkus 15 5" xfId="5942" xr:uid="{00000000-0005-0000-0000-000085170000}"/>
    <cellStyle name="Märkus 15 6" xfId="5943" xr:uid="{00000000-0005-0000-0000-000086170000}"/>
    <cellStyle name="Märkus 16" xfId="5944" xr:uid="{00000000-0005-0000-0000-000087170000}"/>
    <cellStyle name="Märkus 16 2" xfId="5945" xr:uid="{00000000-0005-0000-0000-000088170000}"/>
    <cellStyle name="Märkus 16 2 2" xfId="5946" xr:uid="{00000000-0005-0000-0000-000089170000}"/>
    <cellStyle name="Märkus 16 2 3" xfId="5947" xr:uid="{00000000-0005-0000-0000-00008A170000}"/>
    <cellStyle name="Märkus 16 2 4" xfId="5948" xr:uid="{00000000-0005-0000-0000-00008B170000}"/>
    <cellStyle name="Märkus 16 2 5" xfId="5949" xr:uid="{00000000-0005-0000-0000-00008C170000}"/>
    <cellStyle name="Märkus 16 3" xfId="5950" xr:uid="{00000000-0005-0000-0000-00008D170000}"/>
    <cellStyle name="Märkus 16 4" xfId="5951" xr:uid="{00000000-0005-0000-0000-00008E170000}"/>
    <cellStyle name="Märkus 16 5" xfId="5952" xr:uid="{00000000-0005-0000-0000-00008F170000}"/>
    <cellStyle name="Märkus 16 6" xfId="5953" xr:uid="{00000000-0005-0000-0000-000090170000}"/>
    <cellStyle name="Märkus 17" xfId="5954" xr:uid="{00000000-0005-0000-0000-000091170000}"/>
    <cellStyle name="Märkus 17 2" xfId="5955" xr:uid="{00000000-0005-0000-0000-000092170000}"/>
    <cellStyle name="Märkus 17 2 2" xfId="5956" xr:uid="{00000000-0005-0000-0000-000093170000}"/>
    <cellStyle name="Märkus 17 2 3" xfId="5957" xr:uid="{00000000-0005-0000-0000-000094170000}"/>
    <cellStyle name="Märkus 17 2 4" xfId="5958" xr:uid="{00000000-0005-0000-0000-000095170000}"/>
    <cellStyle name="Märkus 17 2 5" xfId="5959" xr:uid="{00000000-0005-0000-0000-000096170000}"/>
    <cellStyle name="Märkus 17 3" xfId="5960" xr:uid="{00000000-0005-0000-0000-000097170000}"/>
    <cellStyle name="Märkus 17 4" xfId="5961" xr:uid="{00000000-0005-0000-0000-000098170000}"/>
    <cellStyle name="Märkus 17 5" xfId="5962" xr:uid="{00000000-0005-0000-0000-000099170000}"/>
    <cellStyle name="Märkus 17 6" xfId="5963" xr:uid="{00000000-0005-0000-0000-00009A170000}"/>
    <cellStyle name="Märkus 18" xfId="5964" xr:uid="{00000000-0005-0000-0000-00009B170000}"/>
    <cellStyle name="Märkus 18 2" xfId="5965" xr:uid="{00000000-0005-0000-0000-00009C170000}"/>
    <cellStyle name="Märkus 18 2 2" xfId="5966" xr:uid="{00000000-0005-0000-0000-00009D170000}"/>
    <cellStyle name="Märkus 18 2 3" xfId="5967" xr:uid="{00000000-0005-0000-0000-00009E170000}"/>
    <cellStyle name="Märkus 18 2 4" xfId="5968" xr:uid="{00000000-0005-0000-0000-00009F170000}"/>
    <cellStyle name="Märkus 18 2 5" xfId="5969" xr:uid="{00000000-0005-0000-0000-0000A0170000}"/>
    <cellStyle name="Märkus 18 3" xfId="5970" xr:uid="{00000000-0005-0000-0000-0000A1170000}"/>
    <cellStyle name="Märkus 18 4" xfId="5971" xr:uid="{00000000-0005-0000-0000-0000A2170000}"/>
    <cellStyle name="Märkus 18 5" xfId="5972" xr:uid="{00000000-0005-0000-0000-0000A3170000}"/>
    <cellStyle name="Märkus 18 6" xfId="5973" xr:uid="{00000000-0005-0000-0000-0000A4170000}"/>
    <cellStyle name="Märkus 19" xfId="5974" xr:uid="{00000000-0005-0000-0000-0000A5170000}"/>
    <cellStyle name="Märkus 19 2" xfId="5975" xr:uid="{00000000-0005-0000-0000-0000A6170000}"/>
    <cellStyle name="Märkus 19 3" xfId="5976" xr:uid="{00000000-0005-0000-0000-0000A7170000}"/>
    <cellStyle name="Märkus 19 4" xfId="5977" xr:uid="{00000000-0005-0000-0000-0000A8170000}"/>
    <cellStyle name="Märkus 19 5" xfId="5978" xr:uid="{00000000-0005-0000-0000-0000A9170000}"/>
    <cellStyle name="Märkus 2" xfId="5979" xr:uid="{00000000-0005-0000-0000-0000AA170000}"/>
    <cellStyle name="Märkus 2 2" xfId="5980" xr:uid="{00000000-0005-0000-0000-0000AB170000}"/>
    <cellStyle name="Märkus 2 2 2" xfId="5981" xr:uid="{00000000-0005-0000-0000-0000AC170000}"/>
    <cellStyle name="Märkus 2 2 3" xfId="5982" xr:uid="{00000000-0005-0000-0000-0000AD170000}"/>
    <cellStyle name="Märkus 2 2 4" xfId="5983" xr:uid="{00000000-0005-0000-0000-0000AE170000}"/>
    <cellStyle name="Märkus 2 2 5" xfId="5984" xr:uid="{00000000-0005-0000-0000-0000AF170000}"/>
    <cellStyle name="Märkus 2 3" xfId="5985" xr:uid="{00000000-0005-0000-0000-0000B0170000}"/>
    <cellStyle name="Märkus 2 3 2" xfId="5986" xr:uid="{00000000-0005-0000-0000-0000B1170000}"/>
    <cellStyle name="Märkus 2 3 3" xfId="5987" xr:uid="{00000000-0005-0000-0000-0000B2170000}"/>
    <cellStyle name="Märkus 2 4" xfId="5988" xr:uid="{00000000-0005-0000-0000-0000B3170000}"/>
    <cellStyle name="Märkus 2 5" xfId="5989" xr:uid="{00000000-0005-0000-0000-0000B4170000}"/>
    <cellStyle name="Märkus 2 6" xfId="5990" xr:uid="{00000000-0005-0000-0000-0000B5170000}"/>
    <cellStyle name="Märkus 2 7" xfId="5991" xr:uid="{00000000-0005-0000-0000-0000B6170000}"/>
    <cellStyle name="Märkus 20" xfId="5992" xr:uid="{00000000-0005-0000-0000-0000B7170000}"/>
    <cellStyle name="Märkus 20 2" xfId="5993" xr:uid="{00000000-0005-0000-0000-0000B8170000}"/>
    <cellStyle name="Märkus 20 3" xfId="5994" xr:uid="{00000000-0005-0000-0000-0000B9170000}"/>
    <cellStyle name="Märkus 21" xfId="5995" xr:uid="{00000000-0005-0000-0000-0000BA170000}"/>
    <cellStyle name="Märkus 22" xfId="5996" xr:uid="{00000000-0005-0000-0000-0000BB170000}"/>
    <cellStyle name="Märkus 23" xfId="5997" xr:uid="{00000000-0005-0000-0000-0000BC170000}"/>
    <cellStyle name="Märkus 24" xfId="5998" xr:uid="{00000000-0005-0000-0000-0000BD170000}"/>
    <cellStyle name="Märkus 3" xfId="5999" xr:uid="{00000000-0005-0000-0000-0000BE170000}"/>
    <cellStyle name="Märkus 3 2" xfId="6000" xr:uid="{00000000-0005-0000-0000-0000BF170000}"/>
    <cellStyle name="Märkus 3 2 2" xfId="6001" xr:uid="{00000000-0005-0000-0000-0000C0170000}"/>
    <cellStyle name="Märkus 3 2 3" xfId="6002" xr:uid="{00000000-0005-0000-0000-0000C1170000}"/>
    <cellStyle name="Märkus 3 2 4" xfId="6003" xr:uid="{00000000-0005-0000-0000-0000C2170000}"/>
    <cellStyle name="Märkus 3 2 5" xfId="6004" xr:uid="{00000000-0005-0000-0000-0000C3170000}"/>
    <cellStyle name="Märkus 3 3" xfId="6005" xr:uid="{00000000-0005-0000-0000-0000C4170000}"/>
    <cellStyle name="Märkus 3 4" xfId="6006" xr:uid="{00000000-0005-0000-0000-0000C5170000}"/>
    <cellStyle name="Märkus 3 5" xfId="6007" xr:uid="{00000000-0005-0000-0000-0000C6170000}"/>
    <cellStyle name="Märkus 3 6" xfId="6008" xr:uid="{00000000-0005-0000-0000-0000C7170000}"/>
    <cellStyle name="Märkus 4" xfId="6009" xr:uid="{00000000-0005-0000-0000-0000C8170000}"/>
    <cellStyle name="Märkus 4 2" xfId="6010" xr:uid="{00000000-0005-0000-0000-0000C9170000}"/>
    <cellStyle name="Märkus 4 2 2" xfId="6011" xr:uid="{00000000-0005-0000-0000-0000CA170000}"/>
    <cellStyle name="Märkus 4 2 3" xfId="6012" xr:uid="{00000000-0005-0000-0000-0000CB170000}"/>
    <cellStyle name="Märkus 4 2 4" xfId="6013" xr:uid="{00000000-0005-0000-0000-0000CC170000}"/>
    <cellStyle name="Märkus 4 2 5" xfId="6014" xr:uid="{00000000-0005-0000-0000-0000CD170000}"/>
    <cellStyle name="Märkus 4 3" xfId="6015" xr:uid="{00000000-0005-0000-0000-0000CE170000}"/>
    <cellStyle name="Märkus 4 4" xfId="6016" xr:uid="{00000000-0005-0000-0000-0000CF170000}"/>
    <cellStyle name="Märkus 4 5" xfId="6017" xr:uid="{00000000-0005-0000-0000-0000D0170000}"/>
    <cellStyle name="Märkus 4 6" xfId="6018" xr:uid="{00000000-0005-0000-0000-0000D1170000}"/>
    <cellStyle name="Märkus 5" xfId="6019" xr:uid="{00000000-0005-0000-0000-0000D2170000}"/>
    <cellStyle name="Märkus 5 2" xfId="6020" xr:uid="{00000000-0005-0000-0000-0000D3170000}"/>
    <cellStyle name="Märkus 5 2 2" xfId="6021" xr:uid="{00000000-0005-0000-0000-0000D4170000}"/>
    <cellStyle name="Märkus 5 2 3" xfId="6022" xr:uid="{00000000-0005-0000-0000-0000D5170000}"/>
    <cellStyle name="Märkus 5 2 4" xfId="6023" xr:uid="{00000000-0005-0000-0000-0000D6170000}"/>
    <cellStyle name="Märkus 5 2 5" xfId="6024" xr:uid="{00000000-0005-0000-0000-0000D7170000}"/>
    <cellStyle name="Märkus 5 3" xfId="6025" xr:uid="{00000000-0005-0000-0000-0000D8170000}"/>
    <cellStyle name="Märkus 5 4" xfId="6026" xr:uid="{00000000-0005-0000-0000-0000D9170000}"/>
    <cellStyle name="Märkus 5 5" xfId="6027" xr:uid="{00000000-0005-0000-0000-0000DA170000}"/>
    <cellStyle name="Märkus 5 6" xfId="6028" xr:uid="{00000000-0005-0000-0000-0000DB170000}"/>
    <cellStyle name="Märkus 6" xfId="6029" xr:uid="{00000000-0005-0000-0000-0000DC170000}"/>
    <cellStyle name="Märkus 6 2" xfId="6030" xr:uid="{00000000-0005-0000-0000-0000DD170000}"/>
    <cellStyle name="Märkus 6 2 2" xfId="6031" xr:uid="{00000000-0005-0000-0000-0000DE170000}"/>
    <cellStyle name="Märkus 6 2 3" xfId="6032" xr:uid="{00000000-0005-0000-0000-0000DF170000}"/>
    <cellStyle name="Märkus 6 2 4" xfId="6033" xr:uid="{00000000-0005-0000-0000-0000E0170000}"/>
    <cellStyle name="Märkus 6 2 5" xfId="6034" xr:uid="{00000000-0005-0000-0000-0000E1170000}"/>
    <cellStyle name="Märkus 6 3" xfId="6035" xr:uid="{00000000-0005-0000-0000-0000E2170000}"/>
    <cellStyle name="Märkus 6 4" xfId="6036" xr:uid="{00000000-0005-0000-0000-0000E3170000}"/>
    <cellStyle name="Märkus 6 5" xfId="6037" xr:uid="{00000000-0005-0000-0000-0000E4170000}"/>
    <cellStyle name="Märkus 6 6" xfId="6038" xr:uid="{00000000-0005-0000-0000-0000E5170000}"/>
    <cellStyle name="Märkus 7" xfId="6039" xr:uid="{00000000-0005-0000-0000-0000E6170000}"/>
    <cellStyle name="Märkus 7 2" xfId="6040" xr:uid="{00000000-0005-0000-0000-0000E7170000}"/>
    <cellStyle name="Märkus 7 2 2" xfId="6041" xr:uid="{00000000-0005-0000-0000-0000E8170000}"/>
    <cellStyle name="Märkus 7 2 3" xfId="6042" xr:uid="{00000000-0005-0000-0000-0000E9170000}"/>
    <cellStyle name="Märkus 7 2 4" xfId="6043" xr:uid="{00000000-0005-0000-0000-0000EA170000}"/>
    <cellStyle name="Märkus 7 2 5" xfId="6044" xr:uid="{00000000-0005-0000-0000-0000EB170000}"/>
    <cellStyle name="Märkus 7 3" xfId="6045" xr:uid="{00000000-0005-0000-0000-0000EC170000}"/>
    <cellStyle name="Märkus 7 4" xfId="6046" xr:uid="{00000000-0005-0000-0000-0000ED170000}"/>
    <cellStyle name="Märkus 7 5" xfId="6047" xr:uid="{00000000-0005-0000-0000-0000EE170000}"/>
    <cellStyle name="Märkus 7 6" xfId="6048" xr:uid="{00000000-0005-0000-0000-0000EF170000}"/>
    <cellStyle name="Märkus 8" xfId="6049" xr:uid="{00000000-0005-0000-0000-0000F0170000}"/>
    <cellStyle name="Märkus 8 2" xfId="6050" xr:uid="{00000000-0005-0000-0000-0000F1170000}"/>
    <cellStyle name="Märkus 8 2 2" xfId="6051" xr:uid="{00000000-0005-0000-0000-0000F2170000}"/>
    <cellStyle name="Märkus 8 2 3" xfId="6052" xr:uid="{00000000-0005-0000-0000-0000F3170000}"/>
    <cellStyle name="Märkus 8 2 4" xfId="6053" xr:uid="{00000000-0005-0000-0000-0000F4170000}"/>
    <cellStyle name="Märkus 8 2 5" xfId="6054" xr:uid="{00000000-0005-0000-0000-0000F5170000}"/>
    <cellStyle name="Märkus 8 3" xfId="6055" xr:uid="{00000000-0005-0000-0000-0000F6170000}"/>
    <cellStyle name="Märkus 8 4" xfId="6056" xr:uid="{00000000-0005-0000-0000-0000F7170000}"/>
    <cellStyle name="Märkus 8 5" xfId="6057" xr:uid="{00000000-0005-0000-0000-0000F8170000}"/>
    <cellStyle name="Märkus 8 6" xfId="6058" xr:uid="{00000000-0005-0000-0000-0000F9170000}"/>
    <cellStyle name="Märkus 9" xfId="6059" xr:uid="{00000000-0005-0000-0000-0000FA170000}"/>
    <cellStyle name="Märkus 9 2" xfId="6060" xr:uid="{00000000-0005-0000-0000-0000FB170000}"/>
    <cellStyle name="Märkus 9 2 2" xfId="6061" xr:uid="{00000000-0005-0000-0000-0000FC170000}"/>
    <cellStyle name="Märkus 9 2 3" xfId="6062" xr:uid="{00000000-0005-0000-0000-0000FD170000}"/>
    <cellStyle name="Märkus 9 2 4" xfId="6063" xr:uid="{00000000-0005-0000-0000-0000FE170000}"/>
    <cellStyle name="Märkus 9 2 5" xfId="6064" xr:uid="{00000000-0005-0000-0000-0000FF170000}"/>
    <cellStyle name="Märkus 9 3" xfId="6065" xr:uid="{00000000-0005-0000-0000-000000180000}"/>
    <cellStyle name="Märkus 9 4" xfId="6066" xr:uid="{00000000-0005-0000-0000-000001180000}"/>
    <cellStyle name="Märkus 9 5" xfId="6067" xr:uid="{00000000-0005-0000-0000-000002180000}"/>
    <cellStyle name="Märkus 9 6" xfId="6068" xr:uid="{00000000-0005-0000-0000-000003180000}"/>
    <cellStyle name="Nadpis 1" xfId="6376" xr:uid="{00000000-0005-0000-0000-00003E190000}"/>
    <cellStyle name="Nadpis 2" xfId="6377" xr:uid="{00000000-0005-0000-0000-00003F190000}"/>
    <cellStyle name="Nadpis 3" xfId="6378" xr:uid="{00000000-0005-0000-0000-000040190000}"/>
    <cellStyle name="Nadpis 4" xfId="6379" xr:uid="{00000000-0005-0000-0000-000041190000}"/>
    <cellStyle name="Nagłówek 1" xfId="6380" xr:uid="{00000000-0005-0000-0000-000042190000}"/>
    <cellStyle name="Nagłówek 1 2" xfId="6381" xr:uid="{00000000-0005-0000-0000-000043190000}"/>
    <cellStyle name="Nagłówek 2" xfId="6382" xr:uid="{00000000-0005-0000-0000-000044190000}"/>
    <cellStyle name="Nagłówek 2 2" xfId="6383" xr:uid="{00000000-0005-0000-0000-000045190000}"/>
    <cellStyle name="Nagłówek 3" xfId="6384" xr:uid="{00000000-0005-0000-0000-000046190000}"/>
    <cellStyle name="Nagłówek 3 2" xfId="6385" xr:uid="{00000000-0005-0000-0000-000047190000}"/>
    <cellStyle name="Nagłówek 4" xfId="6386" xr:uid="{00000000-0005-0000-0000-000048190000}"/>
    <cellStyle name="Nagłówek 4 2" xfId="6387" xr:uid="{00000000-0005-0000-0000-000049190000}"/>
    <cellStyle name="Named Range" xfId="6388" xr:uid="{00000000-0005-0000-0000-00004A190000}"/>
    <cellStyle name="Named Range Tag" xfId="6389" xr:uid="{00000000-0005-0000-0000-00004B190000}"/>
    <cellStyle name="Named Range_Book2" xfId="6390" xr:uid="{00000000-0005-0000-0000-00004C190000}"/>
    <cellStyle name="Navadno_List1" xfId="6391" xr:uid="{00000000-0005-0000-0000-00004D190000}"/>
    <cellStyle name="Název" xfId="6392" xr:uid="{00000000-0005-0000-0000-00004E190000}"/>
    <cellStyle name="NEGATIF" xfId="6393" xr:uid="{00000000-0005-0000-0000-00004F190000}"/>
    <cellStyle name="Neutral" xfId="14663" xr:uid="{00000000-0005-0000-0000-000054190000}"/>
    <cellStyle name="Neutral 2" xfId="6398" xr:uid="{00000000-0005-0000-0000-000055190000}"/>
    <cellStyle name="Neutral 3" xfId="7" xr:uid="{00000000-0005-0000-0000-000056190000}"/>
    <cellStyle name="Neutrale 2" xfId="6399" xr:uid="{00000000-0005-0000-0000-000057190000}"/>
    <cellStyle name="Neutrale 3" xfId="6400" xr:uid="{00000000-0005-0000-0000-000058190000}"/>
    <cellStyle name="Neutralne" xfId="6401" xr:uid="{00000000-0005-0000-0000-000059190000}"/>
    <cellStyle name="Neutralne 2" xfId="6402" xr:uid="{00000000-0005-0000-0000-00005A190000}"/>
    <cellStyle name="Neutrální" xfId="6403" xr:uid="{00000000-0005-0000-0000-00005B190000}"/>
    <cellStyle name="Neutralus" xfId="6404" xr:uid="{00000000-0005-0000-0000-00005C190000}"/>
    <cellStyle name="Neutre 2" xfId="6405" xr:uid="{00000000-0005-0000-0000-00005D190000}"/>
    <cellStyle name="Neutre 2 2" xfId="6406" xr:uid="{00000000-0005-0000-0000-00005E190000}"/>
    <cellStyle name="Neutre 3" xfId="6407" xr:uid="{00000000-0005-0000-0000-00005F190000}"/>
    <cellStyle name="Neutre 3 2" xfId="6408" xr:uid="{00000000-0005-0000-0000-000060190000}"/>
    <cellStyle name="Neutre 4" xfId="6409" xr:uid="{00000000-0005-0000-0000-000061190000}"/>
    <cellStyle name="Neutre 4 2" xfId="6410" xr:uid="{00000000-0005-0000-0000-000062190000}"/>
    <cellStyle name="Neutre 5" xfId="6411" xr:uid="{00000000-0005-0000-0000-000063190000}"/>
    <cellStyle name="Neutraali" xfId="6394" xr:uid="{00000000-0005-0000-0000-000050190000}"/>
    <cellStyle name="Neutraalne" xfId="6395" xr:uid="{00000000-0005-0000-0000-000051190000}"/>
    <cellStyle name="Neutraalne 2" xfId="6396" xr:uid="{00000000-0005-0000-0000-000052190000}"/>
    <cellStyle name="Neutraalne 3" xfId="6397" xr:uid="{00000000-0005-0000-0000-000053190000}"/>
    <cellStyle name="Normal" xfId="0" builtinId="0"/>
    <cellStyle name="Normal - Style1" xfId="6417" xr:uid="{00000000-0005-0000-0000-00006A190000}"/>
    <cellStyle name="Normal 1" xfId="6418" xr:uid="{00000000-0005-0000-0000-00006B190000}"/>
    <cellStyle name="Normal 10" xfId="6419" xr:uid="{00000000-0005-0000-0000-00006C190000}"/>
    <cellStyle name="Normal 10 2" xfId="6420" xr:uid="{00000000-0005-0000-0000-00006D190000}"/>
    <cellStyle name="Normal 10 2 2" xfId="6421" xr:uid="{00000000-0005-0000-0000-00006E190000}"/>
    <cellStyle name="Normal 10 2 3" xfId="11" xr:uid="{00000000-0005-0000-0000-00006F190000}"/>
    <cellStyle name="Normal 10 3" xfId="6422" xr:uid="{00000000-0005-0000-0000-000070190000}"/>
    <cellStyle name="Normal 10 4" xfId="6423" xr:uid="{00000000-0005-0000-0000-000071190000}"/>
    <cellStyle name="Normal 10 5" xfId="6424" xr:uid="{00000000-0005-0000-0000-000072190000}"/>
    <cellStyle name="Normal 10 6" xfId="6425" xr:uid="{00000000-0005-0000-0000-000073190000}"/>
    <cellStyle name="Normal 100" xfId="6426" xr:uid="{00000000-0005-0000-0000-000074190000}"/>
    <cellStyle name="Normal 101" xfId="6427" xr:uid="{00000000-0005-0000-0000-000075190000}"/>
    <cellStyle name="Normal 102" xfId="6428" xr:uid="{00000000-0005-0000-0000-000076190000}"/>
    <cellStyle name="Normal 103" xfId="6429" xr:uid="{00000000-0005-0000-0000-000077190000}"/>
    <cellStyle name="Normal 104" xfId="6430" xr:uid="{00000000-0005-0000-0000-000078190000}"/>
    <cellStyle name="Normal 105" xfId="6431" xr:uid="{00000000-0005-0000-0000-000079190000}"/>
    <cellStyle name="Normal 106" xfId="6432" xr:uid="{00000000-0005-0000-0000-00007A190000}"/>
    <cellStyle name="Normal 107" xfId="6433" xr:uid="{00000000-0005-0000-0000-00007B190000}"/>
    <cellStyle name="Normal 108" xfId="14672" xr:uid="{00000000-0005-0000-0000-00007C190000}"/>
    <cellStyle name="Normal 109" xfId="14717" xr:uid="{00000000-0005-0000-0000-00007D190000}"/>
    <cellStyle name="Normal 11" xfId="6434" xr:uid="{00000000-0005-0000-0000-00007E190000}"/>
    <cellStyle name="Normal 11 2" xfId="6435" xr:uid="{00000000-0005-0000-0000-00007F190000}"/>
    <cellStyle name="Normal 11 2 2" xfId="6436" xr:uid="{00000000-0005-0000-0000-000080190000}"/>
    <cellStyle name="Normal 11 2 3" xfId="6437" xr:uid="{00000000-0005-0000-0000-000081190000}"/>
    <cellStyle name="Normal 11 3" xfId="6438" xr:uid="{00000000-0005-0000-0000-000082190000}"/>
    <cellStyle name="Normal 11 4" xfId="6439" xr:uid="{00000000-0005-0000-0000-000083190000}"/>
    <cellStyle name="Normal 11 4 2" xfId="6440" xr:uid="{00000000-0005-0000-0000-000084190000}"/>
    <cellStyle name="Normal 11 4 3" xfId="6441" xr:uid="{00000000-0005-0000-0000-000085190000}"/>
    <cellStyle name="Normal 11 4 4" xfId="6442" xr:uid="{00000000-0005-0000-0000-000086190000}"/>
    <cellStyle name="Normal 110" xfId="14674" xr:uid="{00000000-0005-0000-0000-000087190000}"/>
    <cellStyle name="Normal 12" xfId="6443" xr:uid="{00000000-0005-0000-0000-000088190000}"/>
    <cellStyle name="Normal 12 2" xfId="6444" xr:uid="{00000000-0005-0000-0000-000089190000}"/>
    <cellStyle name="Normal 12 3" xfId="6445" xr:uid="{00000000-0005-0000-0000-00008A190000}"/>
    <cellStyle name="Normal 12 4" xfId="6446" xr:uid="{00000000-0005-0000-0000-00008B190000}"/>
    <cellStyle name="Normal 13" xfId="6447" xr:uid="{00000000-0005-0000-0000-00008C190000}"/>
    <cellStyle name="Normal 13 2" xfId="6448" xr:uid="{00000000-0005-0000-0000-00008D190000}"/>
    <cellStyle name="Normal 13 3" xfId="6449" xr:uid="{00000000-0005-0000-0000-00008E190000}"/>
    <cellStyle name="Normal 14" xfId="6450" xr:uid="{00000000-0005-0000-0000-00008F190000}"/>
    <cellStyle name="Normal 14 2" xfId="6451" xr:uid="{00000000-0005-0000-0000-000090190000}"/>
    <cellStyle name="Normal 14 3" xfId="6452" xr:uid="{00000000-0005-0000-0000-000091190000}"/>
    <cellStyle name="Normal 14 3 2" xfId="6453" xr:uid="{00000000-0005-0000-0000-000092190000}"/>
    <cellStyle name="Normal 14 3 2 2" xfId="6454" xr:uid="{00000000-0005-0000-0000-000093190000}"/>
    <cellStyle name="Normal 14 3 2 2 2" xfId="6455" xr:uid="{00000000-0005-0000-0000-000094190000}"/>
    <cellStyle name="Normal 14 3 2 3" xfId="6456" xr:uid="{00000000-0005-0000-0000-000095190000}"/>
    <cellStyle name="Normal 14 3 3" xfId="6457" xr:uid="{00000000-0005-0000-0000-000096190000}"/>
    <cellStyle name="Normal 14 3 3 2" xfId="6458" xr:uid="{00000000-0005-0000-0000-000097190000}"/>
    <cellStyle name="Normal 14 3 4" xfId="6459" xr:uid="{00000000-0005-0000-0000-000098190000}"/>
    <cellStyle name="Normal 14 4" xfId="6460" xr:uid="{00000000-0005-0000-0000-000099190000}"/>
    <cellStyle name="Normal 14 4 2" xfId="6461" xr:uid="{00000000-0005-0000-0000-00009A190000}"/>
    <cellStyle name="Normal 14 4 2 2" xfId="6462" xr:uid="{00000000-0005-0000-0000-00009B190000}"/>
    <cellStyle name="Normal 14 4 3" xfId="6463" xr:uid="{00000000-0005-0000-0000-00009C190000}"/>
    <cellStyle name="Normal 14 5" xfId="6464" xr:uid="{00000000-0005-0000-0000-00009D190000}"/>
    <cellStyle name="Normal 14 5 2" xfId="6465" xr:uid="{00000000-0005-0000-0000-00009E190000}"/>
    <cellStyle name="Normal 14 6" xfId="6466" xr:uid="{00000000-0005-0000-0000-00009F190000}"/>
    <cellStyle name="Normal 14 6 2" xfId="14761" xr:uid="{00000000-0005-0000-0000-0000A0190000}"/>
    <cellStyle name="Normal 15" xfId="6467" xr:uid="{00000000-0005-0000-0000-0000A1190000}"/>
    <cellStyle name="Normal 15 2" xfId="6468" xr:uid="{00000000-0005-0000-0000-0000A2190000}"/>
    <cellStyle name="Normal 15 3" xfId="6469" xr:uid="{00000000-0005-0000-0000-0000A3190000}"/>
    <cellStyle name="Normal 15 4" xfId="6470" xr:uid="{00000000-0005-0000-0000-0000A4190000}"/>
    <cellStyle name="Normal 15 5" xfId="6471" xr:uid="{00000000-0005-0000-0000-0000A5190000}"/>
    <cellStyle name="Normal 16" xfId="15" xr:uid="{00000000-0005-0000-0000-0000A6190000}"/>
    <cellStyle name="Normal 16 2" xfId="6472" xr:uid="{00000000-0005-0000-0000-0000A7190000}"/>
    <cellStyle name="Normal 16 3" xfId="6473" xr:uid="{00000000-0005-0000-0000-0000A8190000}"/>
    <cellStyle name="Normal 17" xfId="6474" xr:uid="{00000000-0005-0000-0000-0000A9190000}"/>
    <cellStyle name="Normal 17 2" xfId="6475" xr:uid="{00000000-0005-0000-0000-0000AA190000}"/>
    <cellStyle name="Normal 17 2 2" xfId="6476" xr:uid="{00000000-0005-0000-0000-0000AB190000}"/>
    <cellStyle name="Normal 17 3" xfId="6477" xr:uid="{00000000-0005-0000-0000-0000AC190000}"/>
    <cellStyle name="Normal 17 4" xfId="6478" xr:uid="{00000000-0005-0000-0000-0000AD190000}"/>
    <cellStyle name="Normal 18" xfId="4" xr:uid="{00000000-0005-0000-0000-0000AE190000}"/>
    <cellStyle name="Normal 18 2" xfId="6479" xr:uid="{00000000-0005-0000-0000-0000AF190000}"/>
    <cellStyle name="Normal 18 2 2" xfId="6480" xr:uid="{00000000-0005-0000-0000-0000B0190000}"/>
    <cellStyle name="Normal 18 3" xfId="6481" xr:uid="{00000000-0005-0000-0000-0000B1190000}"/>
    <cellStyle name="Normal 19" xfId="6482" xr:uid="{00000000-0005-0000-0000-0000B2190000}"/>
    <cellStyle name="Normal 19 2" xfId="6483" xr:uid="{00000000-0005-0000-0000-0000B3190000}"/>
    <cellStyle name="Normal 19 2 2" xfId="6484" xr:uid="{00000000-0005-0000-0000-0000B4190000}"/>
    <cellStyle name="Normal 19 3" xfId="6485" xr:uid="{00000000-0005-0000-0000-0000B5190000}"/>
    <cellStyle name="Normal 2" xfId="6486" xr:uid="{00000000-0005-0000-0000-0000B6190000}"/>
    <cellStyle name="Normál 2" xfId="6487" xr:uid="{00000000-0005-0000-0000-0000B7190000}"/>
    <cellStyle name="Normal 2 10" xfId="6488" xr:uid="{00000000-0005-0000-0000-0000B8190000}"/>
    <cellStyle name="Normal 2 10 2" xfId="6489" xr:uid="{00000000-0005-0000-0000-0000B9190000}"/>
    <cellStyle name="Normal 2 11" xfId="6490" xr:uid="{00000000-0005-0000-0000-0000BA190000}"/>
    <cellStyle name="Normal 2 11 2" xfId="14812" xr:uid="{00000000-0005-0000-0000-0000BB190000}"/>
    <cellStyle name="Normal 2 12" xfId="6491" xr:uid="{00000000-0005-0000-0000-0000BC190000}"/>
    <cellStyle name="Normal 2 12 2" xfId="14813" xr:uid="{00000000-0005-0000-0000-0000BD190000}"/>
    <cellStyle name="Normal 2 13" xfId="6492" xr:uid="{00000000-0005-0000-0000-0000BE190000}"/>
    <cellStyle name="Normal 2 13 2" xfId="14814" xr:uid="{00000000-0005-0000-0000-0000BF190000}"/>
    <cellStyle name="Normal 2 14" xfId="6493" xr:uid="{00000000-0005-0000-0000-0000C0190000}"/>
    <cellStyle name="Normal 2 14 2" xfId="14815" xr:uid="{00000000-0005-0000-0000-0000C1190000}"/>
    <cellStyle name="Normal 2 15" xfId="6494" xr:uid="{00000000-0005-0000-0000-0000C2190000}"/>
    <cellStyle name="Normal 2 16" xfId="6495" xr:uid="{00000000-0005-0000-0000-0000C3190000}"/>
    <cellStyle name="Normal 2 17" xfId="6496" xr:uid="{00000000-0005-0000-0000-0000C4190000}"/>
    <cellStyle name="Normal 2 18" xfId="6497" xr:uid="{00000000-0005-0000-0000-0000C5190000}"/>
    <cellStyle name="Normal 2 19" xfId="6498" xr:uid="{00000000-0005-0000-0000-0000C6190000}"/>
    <cellStyle name="Normal 2 2" xfId="6499" xr:uid="{00000000-0005-0000-0000-0000C7190000}"/>
    <cellStyle name="Normal 2 2 2" xfId="6500" xr:uid="{00000000-0005-0000-0000-0000C8190000}"/>
    <cellStyle name="Normal 2 2 2 2" xfId="6501" xr:uid="{00000000-0005-0000-0000-0000C9190000}"/>
    <cellStyle name="Normal 2 2 2 3" xfId="6502" xr:uid="{00000000-0005-0000-0000-0000CA190000}"/>
    <cellStyle name="Normal 2 2 3" xfId="6503" xr:uid="{00000000-0005-0000-0000-0000CB190000}"/>
    <cellStyle name="Normal 2 2 3 2" xfId="6504" xr:uid="{00000000-0005-0000-0000-0000CC190000}"/>
    <cellStyle name="Normal 2 2 4" xfId="6505" xr:uid="{00000000-0005-0000-0000-0000CD190000}"/>
    <cellStyle name="Normal 2 2 5" xfId="6506" xr:uid="{00000000-0005-0000-0000-0000CE190000}"/>
    <cellStyle name="normal 2 2_Table1" xfId="6507" xr:uid="{00000000-0005-0000-0000-0000CF190000}"/>
    <cellStyle name="Normal 2 20" xfId="6508" xr:uid="{00000000-0005-0000-0000-0000D0190000}"/>
    <cellStyle name="Normal 2 21" xfId="6509" xr:uid="{00000000-0005-0000-0000-0000D1190000}"/>
    <cellStyle name="Normal 2 22" xfId="6510" xr:uid="{00000000-0005-0000-0000-0000D2190000}"/>
    <cellStyle name="Normal 2 23" xfId="6511" xr:uid="{00000000-0005-0000-0000-0000D3190000}"/>
    <cellStyle name="Normal 2 24" xfId="6512" xr:uid="{00000000-0005-0000-0000-0000D4190000}"/>
    <cellStyle name="Normal 2 25" xfId="6513" xr:uid="{00000000-0005-0000-0000-0000D5190000}"/>
    <cellStyle name="Normal 2 3" xfId="6514" xr:uid="{00000000-0005-0000-0000-0000D6190000}"/>
    <cellStyle name="Normal 2 3 2" xfId="6515" xr:uid="{00000000-0005-0000-0000-0000D7190000}"/>
    <cellStyle name="Normal 2 3 2 2" xfId="6516" xr:uid="{00000000-0005-0000-0000-0000D8190000}"/>
    <cellStyle name="Normal 2 3 2 2 2" xfId="6517" xr:uid="{00000000-0005-0000-0000-0000D9190000}"/>
    <cellStyle name="Normal 2 3 2 2 3" xfId="6518" xr:uid="{00000000-0005-0000-0000-0000DA190000}"/>
    <cellStyle name="Normal 2 3 2 3" xfId="18" xr:uid="{00000000-0005-0000-0000-0000DB190000}"/>
    <cellStyle name="Normal 2 3 2 3 2" xfId="6519" xr:uid="{00000000-0005-0000-0000-0000DC190000}"/>
    <cellStyle name="Normal 2 3 2 4" xfId="6520" xr:uid="{00000000-0005-0000-0000-0000DD190000}"/>
    <cellStyle name="Normal 2 3 2 4 2" xfId="14816" xr:uid="{00000000-0005-0000-0000-0000DE190000}"/>
    <cellStyle name="Normal 2 3 3" xfId="6521" xr:uid="{00000000-0005-0000-0000-0000DF190000}"/>
    <cellStyle name="Normal 2 3 3 2" xfId="6522" xr:uid="{00000000-0005-0000-0000-0000E0190000}"/>
    <cellStyle name="Normal 2 3 4" xfId="6523" xr:uid="{00000000-0005-0000-0000-0000E1190000}"/>
    <cellStyle name="Normal 2 3 5" xfId="6524" xr:uid="{00000000-0005-0000-0000-0000E2190000}"/>
    <cellStyle name="Normal 2 4" xfId="6525" xr:uid="{00000000-0005-0000-0000-0000E3190000}"/>
    <cellStyle name="Normal 2 4 2" xfId="6526" xr:uid="{00000000-0005-0000-0000-0000E4190000}"/>
    <cellStyle name="Normal 2 4 2 2" xfId="6527" xr:uid="{00000000-0005-0000-0000-0000E5190000}"/>
    <cellStyle name="Normal 2 4 2 2 2" xfId="6528" xr:uid="{00000000-0005-0000-0000-0000E6190000}"/>
    <cellStyle name="Normal 2 4 2 3" xfId="6529" xr:uid="{00000000-0005-0000-0000-0000E7190000}"/>
    <cellStyle name="Normal 2 4 3" xfId="6530" xr:uid="{00000000-0005-0000-0000-0000E8190000}"/>
    <cellStyle name="Normal 2 4 3 2" xfId="6531" xr:uid="{00000000-0005-0000-0000-0000E9190000}"/>
    <cellStyle name="Normal 2 4 3 2 2" xfId="6532" xr:uid="{00000000-0005-0000-0000-0000EA190000}"/>
    <cellStyle name="Normal 2 4 3 3" xfId="6533" xr:uid="{00000000-0005-0000-0000-0000EB190000}"/>
    <cellStyle name="Normal 2 4 4" xfId="6534" xr:uid="{00000000-0005-0000-0000-0000EC190000}"/>
    <cellStyle name="Normal 2 4 4 2" xfId="6535" xr:uid="{00000000-0005-0000-0000-0000ED190000}"/>
    <cellStyle name="Normal 2 4 5" xfId="6536" xr:uid="{00000000-0005-0000-0000-0000EE190000}"/>
    <cellStyle name="Normal 2 4 6" xfId="6537" xr:uid="{00000000-0005-0000-0000-0000EF190000}"/>
    <cellStyle name="Normal 2 5" xfId="6538" xr:uid="{00000000-0005-0000-0000-0000F0190000}"/>
    <cellStyle name="Normal 2 5 2" xfId="6539" xr:uid="{00000000-0005-0000-0000-0000F1190000}"/>
    <cellStyle name="Normal 2 6" xfId="6540" xr:uid="{00000000-0005-0000-0000-0000F2190000}"/>
    <cellStyle name="Normal 2 6 2" xfId="6541" xr:uid="{00000000-0005-0000-0000-0000F3190000}"/>
    <cellStyle name="Normal 2 6 3" xfId="6542" xr:uid="{00000000-0005-0000-0000-0000F4190000}"/>
    <cellStyle name="Normal 2 7" xfId="6543" xr:uid="{00000000-0005-0000-0000-0000F5190000}"/>
    <cellStyle name="Normal 2 7 2" xfId="6544" xr:uid="{00000000-0005-0000-0000-0000F6190000}"/>
    <cellStyle name="Normal 2 8" xfId="6545" xr:uid="{00000000-0005-0000-0000-0000F7190000}"/>
    <cellStyle name="Normal 2 9" xfId="6546" xr:uid="{00000000-0005-0000-0000-0000F8190000}"/>
    <cellStyle name="Normal 2_Additional information tables" xfId="6547" xr:uid="{00000000-0005-0000-0000-0000F9190000}"/>
    <cellStyle name="Normal 20" xfId="6548" xr:uid="{00000000-0005-0000-0000-0000FA190000}"/>
    <cellStyle name="Normal 20 2" xfId="6549" xr:uid="{00000000-0005-0000-0000-0000FB190000}"/>
    <cellStyle name="Normal 20 2 2" xfId="6550" xr:uid="{00000000-0005-0000-0000-0000FC190000}"/>
    <cellStyle name="Normal 20 3" xfId="6551" xr:uid="{00000000-0005-0000-0000-0000FD190000}"/>
    <cellStyle name="Normal 21" xfId="6552" xr:uid="{00000000-0005-0000-0000-0000FE190000}"/>
    <cellStyle name="Normal 21 2" xfId="6553" xr:uid="{00000000-0005-0000-0000-0000FF190000}"/>
    <cellStyle name="Normal 21 2 2" xfId="6554" xr:uid="{00000000-0005-0000-0000-0000001A0000}"/>
    <cellStyle name="Normal 21 3" xfId="6555" xr:uid="{00000000-0005-0000-0000-0000011A0000}"/>
    <cellStyle name="Normal 22" xfId="6556" xr:uid="{00000000-0005-0000-0000-0000021A0000}"/>
    <cellStyle name="Normal 22 2" xfId="6557" xr:uid="{00000000-0005-0000-0000-0000031A0000}"/>
    <cellStyle name="Normal 22 2 2" xfId="6558" xr:uid="{00000000-0005-0000-0000-0000041A0000}"/>
    <cellStyle name="Normal 22 3" xfId="6559" xr:uid="{00000000-0005-0000-0000-0000051A0000}"/>
    <cellStyle name="Normal 23" xfId="6560" xr:uid="{00000000-0005-0000-0000-0000061A0000}"/>
    <cellStyle name="Normal 23 2" xfId="6561" xr:uid="{00000000-0005-0000-0000-0000071A0000}"/>
    <cellStyle name="Normal 23 2 2" xfId="6562" xr:uid="{00000000-0005-0000-0000-0000081A0000}"/>
    <cellStyle name="Normal 23 3" xfId="6563" xr:uid="{00000000-0005-0000-0000-0000091A0000}"/>
    <cellStyle name="Normal 24" xfId="6564" xr:uid="{00000000-0005-0000-0000-00000A1A0000}"/>
    <cellStyle name="Normal 24 2" xfId="6565" xr:uid="{00000000-0005-0000-0000-00000B1A0000}"/>
    <cellStyle name="Normal 24 2 2" xfId="6566" xr:uid="{00000000-0005-0000-0000-00000C1A0000}"/>
    <cellStyle name="Normal 24 3" xfId="6567" xr:uid="{00000000-0005-0000-0000-00000D1A0000}"/>
    <cellStyle name="Normal 25" xfId="6568" xr:uid="{00000000-0005-0000-0000-00000E1A0000}"/>
    <cellStyle name="Normal 25 2" xfId="6569" xr:uid="{00000000-0005-0000-0000-00000F1A0000}"/>
    <cellStyle name="Normal 26" xfId="6570" xr:uid="{00000000-0005-0000-0000-0000101A0000}"/>
    <cellStyle name="Normal 26 2" xfId="6571" xr:uid="{00000000-0005-0000-0000-0000111A0000}"/>
    <cellStyle name="Normal 27" xfId="6572" xr:uid="{00000000-0005-0000-0000-0000121A0000}"/>
    <cellStyle name="Normal 27 2" xfId="6573" xr:uid="{00000000-0005-0000-0000-0000131A0000}"/>
    <cellStyle name="Normal 27 2 2" xfId="6574" xr:uid="{00000000-0005-0000-0000-0000141A0000}"/>
    <cellStyle name="Normal 27 3" xfId="6575" xr:uid="{00000000-0005-0000-0000-0000151A0000}"/>
    <cellStyle name="Normal 27 3 2" xfId="14781" xr:uid="{00000000-0005-0000-0000-0000161A0000}"/>
    <cellStyle name="Normal 28" xfId="6576" xr:uid="{00000000-0005-0000-0000-0000171A0000}"/>
    <cellStyle name="Normal 28 2" xfId="6577" xr:uid="{00000000-0005-0000-0000-0000181A0000}"/>
    <cellStyle name="Normal 28 2 2" xfId="6578" xr:uid="{00000000-0005-0000-0000-0000191A0000}"/>
    <cellStyle name="Normal 28 3" xfId="6579" xr:uid="{00000000-0005-0000-0000-00001A1A0000}"/>
    <cellStyle name="Normal 28 3 2" xfId="14784" xr:uid="{00000000-0005-0000-0000-00001B1A0000}"/>
    <cellStyle name="Normal 29" xfId="6580" xr:uid="{00000000-0005-0000-0000-00001C1A0000}"/>
    <cellStyle name="Normal 29 2" xfId="6581" xr:uid="{00000000-0005-0000-0000-00001D1A0000}"/>
    <cellStyle name="Normal 29 2 2" xfId="6582" xr:uid="{00000000-0005-0000-0000-00001E1A0000}"/>
    <cellStyle name="Normal 29 3" xfId="6583" xr:uid="{00000000-0005-0000-0000-00001F1A0000}"/>
    <cellStyle name="Normal 29 3 2" xfId="14801" xr:uid="{00000000-0005-0000-0000-0000201A0000}"/>
    <cellStyle name="Normal 3" xfId="6584" xr:uid="{00000000-0005-0000-0000-0000211A0000}"/>
    <cellStyle name="Normál 3" xfId="6585" xr:uid="{00000000-0005-0000-0000-0000221A0000}"/>
    <cellStyle name="Normal 3 10" xfId="6586" xr:uid="{00000000-0005-0000-0000-0000231A0000}"/>
    <cellStyle name="Normal 3 10 2" xfId="14817" xr:uid="{00000000-0005-0000-0000-0000241A0000}"/>
    <cellStyle name="Normal 3 11" xfId="6587" xr:uid="{00000000-0005-0000-0000-0000251A0000}"/>
    <cellStyle name="Normal 3 12" xfId="6588" xr:uid="{00000000-0005-0000-0000-0000261A0000}"/>
    <cellStyle name="Normal 3 13" xfId="6589" xr:uid="{00000000-0005-0000-0000-0000271A0000}"/>
    <cellStyle name="Normal 3 14" xfId="6590" xr:uid="{00000000-0005-0000-0000-0000281A0000}"/>
    <cellStyle name="Normal 3 15" xfId="6591" xr:uid="{00000000-0005-0000-0000-0000291A0000}"/>
    <cellStyle name="Normal 3 16" xfId="6592" xr:uid="{00000000-0005-0000-0000-00002A1A0000}"/>
    <cellStyle name="Normal 3 17" xfId="6593" xr:uid="{00000000-0005-0000-0000-00002B1A0000}"/>
    <cellStyle name="Normal 3 18" xfId="6594" xr:uid="{00000000-0005-0000-0000-00002C1A0000}"/>
    <cellStyle name="Normal 3 19" xfId="6595" xr:uid="{00000000-0005-0000-0000-00002D1A0000}"/>
    <cellStyle name="Normal 3 2" xfId="6596" xr:uid="{00000000-0005-0000-0000-00002E1A0000}"/>
    <cellStyle name="Normál 3 2" xfId="14818" xr:uid="{00000000-0005-0000-0000-00002F1A0000}"/>
    <cellStyle name="Normal 3 2 2" xfId="6597" xr:uid="{00000000-0005-0000-0000-0000301A0000}"/>
    <cellStyle name="Normal 3 2 2 2" xfId="6598" xr:uid="{00000000-0005-0000-0000-0000311A0000}"/>
    <cellStyle name="Normal 3 2 2 3" xfId="6599" xr:uid="{00000000-0005-0000-0000-0000321A0000}"/>
    <cellStyle name="Normal 3 2 2 4" xfId="6600" xr:uid="{00000000-0005-0000-0000-0000331A0000}"/>
    <cellStyle name="Normal 3 2 3" xfId="6601" xr:uid="{00000000-0005-0000-0000-0000341A0000}"/>
    <cellStyle name="Normal 3 2 4" xfId="6602" xr:uid="{00000000-0005-0000-0000-0000351A0000}"/>
    <cellStyle name="Normal 3 2 5" xfId="14714" xr:uid="{00000000-0005-0000-0000-0000361A0000}"/>
    <cellStyle name="Normal 3 2 6" xfId="14693" xr:uid="{00000000-0005-0000-0000-0000371A0000}"/>
    <cellStyle name="Normal 3 20" xfId="6603" xr:uid="{00000000-0005-0000-0000-0000381A0000}"/>
    <cellStyle name="Normal 3 21" xfId="6604" xr:uid="{00000000-0005-0000-0000-0000391A0000}"/>
    <cellStyle name="Normal 3 22" xfId="6605" xr:uid="{00000000-0005-0000-0000-00003A1A0000}"/>
    <cellStyle name="Normal 3 3" xfId="6606" xr:uid="{00000000-0005-0000-0000-00003B1A0000}"/>
    <cellStyle name="Normál 3 3" xfId="14819" xr:uid="{00000000-0005-0000-0000-00003C1A0000}"/>
    <cellStyle name="Normal 3 3 2" xfId="6607" xr:uid="{00000000-0005-0000-0000-00003D1A0000}"/>
    <cellStyle name="Normal 3 3 3" xfId="6608" xr:uid="{00000000-0005-0000-0000-00003E1A0000}"/>
    <cellStyle name="Normal 3 3 3 2" xfId="6609" xr:uid="{00000000-0005-0000-0000-00003F1A0000}"/>
    <cellStyle name="Normal 3 3 4" xfId="14713" xr:uid="{00000000-0005-0000-0000-0000401A0000}"/>
    <cellStyle name="Normal 3 3 5" xfId="14694" xr:uid="{00000000-0005-0000-0000-0000411A0000}"/>
    <cellStyle name="Normal 3 4" xfId="6610" xr:uid="{00000000-0005-0000-0000-0000421A0000}"/>
    <cellStyle name="Normal 3 4 2" xfId="14820" xr:uid="{00000000-0005-0000-0000-0000431A0000}"/>
    <cellStyle name="Normal 3 5" xfId="6611" xr:uid="{00000000-0005-0000-0000-0000441A0000}"/>
    <cellStyle name="Normal 3 6" xfId="6612" xr:uid="{00000000-0005-0000-0000-0000451A0000}"/>
    <cellStyle name="Normal 3 7" xfId="6613" xr:uid="{00000000-0005-0000-0000-0000461A0000}"/>
    <cellStyle name="Normal 3 7 2" xfId="14821" xr:uid="{00000000-0005-0000-0000-0000471A0000}"/>
    <cellStyle name="Normal 3 8" xfId="6614" xr:uid="{00000000-0005-0000-0000-0000481A0000}"/>
    <cellStyle name="Normal 3 8 2" xfId="14822" xr:uid="{00000000-0005-0000-0000-0000491A0000}"/>
    <cellStyle name="Normal 3 9" xfId="6615" xr:uid="{00000000-0005-0000-0000-00004A1A0000}"/>
    <cellStyle name="Normal 3 9 2" xfId="14823" xr:uid="{00000000-0005-0000-0000-00004B1A0000}"/>
    <cellStyle name="Normal 3_RP1-FI-V0" xfId="6616" xr:uid="{00000000-0005-0000-0000-00004C1A0000}"/>
    <cellStyle name="Normal 30" xfId="6617" xr:uid="{00000000-0005-0000-0000-00004D1A0000}"/>
    <cellStyle name="Normal 30 2" xfId="6618" xr:uid="{00000000-0005-0000-0000-00004E1A0000}"/>
    <cellStyle name="Normal 30 2 2" xfId="6619" xr:uid="{00000000-0005-0000-0000-00004F1A0000}"/>
    <cellStyle name="Normal 30 3" xfId="6620" xr:uid="{00000000-0005-0000-0000-0000501A0000}"/>
    <cellStyle name="Normal 30 3 2" xfId="14787" xr:uid="{00000000-0005-0000-0000-0000511A0000}"/>
    <cellStyle name="Normal 31" xfId="6621" xr:uid="{00000000-0005-0000-0000-0000521A0000}"/>
    <cellStyle name="Normal 31 2" xfId="6622" xr:uid="{00000000-0005-0000-0000-0000531A0000}"/>
    <cellStyle name="Normal 31 3" xfId="14908" xr:uid="{00000000-0005-0000-0000-0000541A0000}"/>
    <cellStyle name="Normal 32" xfId="6623" xr:uid="{00000000-0005-0000-0000-0000551A0000}"/>
    <cellStyle name="Normal 32 2" xfId="6624" xr:uid="{00000000-0005-0000-0000-0000561A0000}"/>
    <cellStyle name="Normal 32 2 2" xfId="6625" xr:uid="{00000000-0005-0000-0000-0000571A0000}"/>
    <cellStyle name="Normal 32 3" xfId="6626" xr:uid="{00000000-0005-0000-0000-0000581A0000}"/>
    <cellStyle name="Normal 32 3 2" xfId="14790" xr:uid="{00000000-0005-0000-0000-0000591A0000}"/>
    <cellStyle name="Normal 33" xfId="6627" xr:uid="{00000000-0005-0000-0000-00005A1A0000}"/>
    <cellStyle name="Normal 33 2" xfId="6628" xr:uid="{00000000-0005-0000-0000-00005B1A0000}"/>
    <cellStyle name="Normal 33 2 2" xfId="6629" xr:uid="{00000000-0005-0000-0000-00005C1A0000}"/>
    <cellStyle name="Normal 33 3" xfId="6630" xr:uid="{00000000-0005-0000-0000-00005D1A0000}"/>
    <cellStyle name="Normal 33 3 2" xfId="14798" xr:uid="{00000000-0005-0000-0000-00005E1A0000}"/>
    <cellStyle name="Normal 34" xfId="6631" xr:uid="{00000000-0005-0000-0000-00005F1A0000}"/>
    <cellStyle name="Normal 34 2" xfId="6632" xr:uid="{00000000-0005-0000-0000-0000601A0000}"/>
    <cellStyle name="Normal 34 2 2" xfId="6633" xr:uid="{00000000-0005-0000-0000-0000611A0000}"/>
    <cellStyle name="Normal 34 3" xfId="6634" xr:uid="{00000000-0005-0000-0000-0000621A0000}"/>
    <cellStyle name="Normal 34 3 2" xfId="14793" xr:uid="{00000000-0005-0000-0000-0000631A0000}"/>
    <cellStyle name="Normal 35" xfId="6635" xr:uid="{00000000-0005-0000-0000-0000641A0000}"/>
    <cellStyle name="Normal 35 2" xfId="6636" xr:uid="{00000000-0005-0000-0000-0000651A0000}"/>
    <cellStyle name="Normal 36" xfId="6637" xr:uid="{00000000-0005-0000-0000-0000661A0000}"/>
    <cellStyle name="Normal 36 2" xfId="6638" xr:uid="{00000000-0005-0000-0000-0000671A0000}"/>
    <cellStyle name="Normal 37" xfId="6639" xr:uid="{00000000-0005-0000-0000-0000681A0000}"/>
    <cellStyle name="Normal 37 2" xfId="6640" xr:uid="{00000000-0005-0000-0000-0000691A0000}"/>
    <cellStyle name="Normal 38" xfId="6641" xr:uid="{00000000-0005-0000-0000-00006A1A0000}"/>
    <cellStyle name="Normal 38 2" xfId="6642" xr:uid="{00000000-0005-0000-0000-00006B1A0000}"/>
    <cellStyle name="Normal 39" xfId="6643" xr:uid="{00000000-0005-0000-0000-00006C1A0000}"/>
    <cellStyle name="Normal 39 2" xfId="6644" xr:uid="{00000000-0005-0000-0000-00006D1A0000}"/>
    <cellStyle name="Normal 4" xfId="6645" xr:uid="{00000000-0005-0000-0000-00006E1A0000}"/>
    <cellStyle name="Normál 4" xfId="6646" xr:uid="{00000000-0005-0000-0000-00006F1A0000}"/>
    <cellStyle name="Normal 4 2" xfId="6647" xr:uid="{00000000-0005-0000-0000-0000701A0000}"/>
    <cellStyle name="Normal 4 2 2" xfId="6648" xr:uid="{00000000-0005-0000-0000-0000711A0000}"/>
    <cellStyle name="Normal 4 2 2 2" xfId="6649" xr:uid="{00000000-0005-0000-0000-0000721A0000}"/>
    <cellStyle name="Normal 4 2 2 3" xfId="6650" xr:uid="{00000000-0005-0000-0000-0000731A0000}"/>
    <cellStyle name="Normal 4 2 2 4" xfId="6651" xr:uid="{00000000-0005-0000-0000-0000741A0000}"/>
    <cellStyle name="Normal 4 3" xfId="6652" xr:uid="{00000000-0005-0000-0000-0000751A0000}"/>
    <cellStyle name="Normal 4 4" xfId="6653" xr:uid="{00000000-0005-0000-0000-0000761A0000}"/>
    <cellStyle name="Normal 4 5" xfId="6654" xr:uid="{00000000-0005-0000-0000-0000771A0000}"/>
    <cellStyle name="Normal 4_RP1-FI-V4" xfId="6655" xr:uid="{00000000-0005-0000-0000-0000781A0000}"/>
    <cellStyle name="Normal 40" xfId="6656" xr:uid="{00000000-0005-0000-0000-0000791A0000}"/>
    <cellStyle name="Normal 40 2" xfId="6657" xr:uid="{00000000-0005-0000-0000-00007A1A0000}"/>
    <cellStyle name="Normal 40 2 2" xfId="6658" xr:uid="{00000000-0005-0000-0000-00007B1A0000}"/>
    <cellStyle name="Normal 40 2 2 2" xfId="6659" xr:uid="{00000000-0005-0000-0000-00007C1A0000}"/>
    <cellStyle name="Normal 40 2 3" xfId="6660" xr:uid="{00000000-0005-0000-0000-00007D1A0000}"/>
    <cellStyle name="Normal 40 3" xfId="6661" xr:uid="{00000000-0005-0000-0000-00007E1A0000}"/>
    <cellStyle name="Normal 40 3 2" xfId="6662" xr:uid="{00000000-0005-0000-0000-00007F1A0000}"/>
    <cellStyle name="Normal 40 3 3" xfId="6663" xr:uid="{00000000-0005-0000-0000-0000801A0000}"/>
    <cellStyle name="Normal 40 4" xfId="6664" xr:uid="{00000000-0005-0000-0000-0000811A0000}"/>
    <cellStyle name="Normal 41" xfId="6665" xr:uid="{00000000-0005-0000-0000-0000821A0000}"/>
    <cellStyle name="Normal 41 2" xfId="6666" xr:uid="{00000000-0005-0000-0000-0000831A0000}"/>
    <cellStyle name="Normal 42" xfId="6667" xr:uid="{00000000-0005-0000-0000-0000841A0000}"/>
    <cellStyle name="Normal 42 2" xfId="6668" xr:uid="{00000000-0005-0000-0000-0000851A0000}"/>
    <cellStyle name="Normal 43" xfId="6669" xr:uid="{00000000-0005-0000-0000-0000861A0000}"/>
    <cellStyle name="Normal 43 2" xfId="6670" xr:uid="{00000000-0005-0000-0000-0000871A0000}"/>
    <cellStyle name="Normal 44" xfId="6671" xr:uid="{00000000-0005-0000-0000-0000881A0000}"/>
    <cellStyle name="Normal 44 2" xfId="6672" xr:uid="{00000000-0005-0000-0000-0000891A0000}"/>
    <cellStyle name="Normal 45" xfId="6673" xr:uid="{00000000-0005-0000-0000-00008A1A0000}"/>
    <cellStyle name="Normal 45 2" xfId="6674" xr:uid="{00000000-0005-0000-0000-00008B1A0000}"/>
    <cellStyle name="Normal 46" xfId="6675" xr:uid="{00000000-0005-0000-0000-00008C1A0000}"/>
    <cellStyle name="Normal 46 2" xfId="6676" xr:uid="{00000000-0005-0000-0000-00008D1A0000}"/>
    <cellStyle name="Normal 47" xfId="6677" xr:uid="{00000000-0005-0000-0000-00008E1A0000}"/>
    <cellStyle name="Normal 47 2" xfId="6678" xr:uid="{00000000-0005-0000-0000-00008F1A0000}"/>
    <cellStyle name="Normal 48" xfId="6679" xr:uid="{00000000-0005-0000-0000-0000901A0000}"/>
    <cellStyle name="Normal 48 2" xfId="6680" xr:uid="{00000000-0005-0000-0000-0000911A0000}"/>
    <cellStyle name="Normal 49" xfId="6681" xr:uid="{00000000-0005-0000-0000-0000921A0000}"/>
    <cellStyle name="Normal 49 2" xfId="6682" xr:uid="{00000000-0005-0000-0000-0000931A0000}"/>
    <cellStyle name="Normal 49 2 2" xfId="6683" xr:uid="{00000000-0005-0000-0000-0000941A0000}"/>
    <cellStyle name="Normal 49 2 3" xfId="6684" xr:uid="{00000000-0005-0000-0000-0000951A0000}"/>
    <cellStyle name="Normal 49 3" xfId="6685" xr:uid="{00000000-0005-0000-0000-0000961A0000}"/>
    <cellStyle name="Normal 49 3 2" xfId="6686" xr:uid="{00000000-0005-0000-0000-0000971A0000}"/>
    <cellStyle name="Normal 49 3 2 2" xfId="6687" xr:uid="{00000000-0005-0000-0000-0000981A0000}"/>
    <cellStyle name="Normal 49 3 3" xfId="6688" xr:uid="{00000000-0005-0000-0000-0000991A0000}"/>
    <cellStyle name="Normal 49 4" xfId="6689" xr:uid="{00000000-0005-0000-0000-00009A1A0000}"/>
    <cellStyle name="Normal 49 4 2" xfId="6690" xr:uid="{00000000-0005-0000-0000-00009B1A0000}"/>
    <cellStyle name="Normal 49 4 2 2" xfId="6691" xr:uid="{00000000-0005-0000-0000-00009C1A0000}"/>
    <cellStyle name="Normal 49 4 3" xfId="6692" xr:uid="{00000000-0005-0000-0000-00009D1A0000}"/>
    <cellStyle name="Normal 49 5" xfId="6693" xr:uid="{00000000-0005-0000-0000-00009E1A0000}"/>
    <cellStyle name="Normal 5" xfId="6694" xr:uid="{00000000-0005-0000-0000-00009F1A0000}"/>
    <cellStyle name="Normál 5" xfId="6695" xr:uid="{00000000-0005-0000-0000-0000A01A0000}"/>
    <cellStyle name="Normal 5 2" xfId="6696" xr:uid="{00000000-0005-0000-0000-0000A11A0000}"/>
    <cellStyle name="Normal 5 2 2" xfId="6697" xr:uid="{00000000-0005-0000-0000-0000A21A0000}"/>
    <cellStyle name="Normal 5 2 3" xfId="6698" xr:uid="{00000000-0005-0000-0000-0000A31A0000}"/>
    <cellStyle name="Normal 5 3" xfId="6699" xr:uid="{00000000-0005-0000-0000-0000A41A0000}"/>
    <cellStyle name="Normal 5 3 2" xfId="6700" xr:uid="{00000000-0005-0000-0000-0000A51A0000}"/>
    <cellStyle name="Normal 5 3 3" xfId="6701" xr:uid="{00000000-0005-0000-0000-0000A61A0000}"/>
    <cellStyle name="Normal 5 4" xfId="6702" xr:uid="{00000000-0005-0000-0000-0000A71A0000}"/>
    <cellStyle name="Normal 5 4 2" xfId="6703" xr:uid="{00000000-0005-0000-0000-0000A81A0000}"/>
    <cellStyle name="Normal 5 5" xfId="6704" xr:uid="{00000000-0005-0000-0000-0000A91A0000}"/>
    <cellStyle name="Normal 5 6" xfId="14681" xr:uid="{00000000-0005-0000-0000-0000AA1A0000}"/>
    <cellStyle name="Normal 5 7" xfId="14712" xr:uid="{00000000-0005-0000-0000-0000AB1A0000}"/>
    <cellStyle name="Normal 5 8" xfId="14695" xr:uid="{00000000-0005-0000-0000-0000AC1A0000}"/>
    <cellStyle name="Normal 5_Copie de 130905 DSNA 2011 Dossier de révision initial KG _ Autre Prod vendue" xfId="6705" xr:uid="{00000000-0005-0000-0000-0000AD1A0000}"/>
    <cellStyle name="Normal 50" xfId="6706" xr:uid="{00000000-0005-0000-0000-0000AE1A0000}"/>
    <cellStyle name="Normal 50 2" xfId="6707" xr:uid="{00000000-0005-0000-0000-0000AF1A0000}"/>
    <cellStyle name="Normal 50 3" xfId="6708" xr:uid="{00000000-0005-0000-0000-0000B01A0000}"/>
    <cellStyle name="Normal 51" xfId="6709" xr:uid="{00000000-0005-0000-0000-0000B11A0000}"/>
    <cellStyle name="Normal 51 2" xfId="6710" xr:uid="{00000000-0005-0000-0000-0000B21A0000}"/>
    <cellStyle name="Normal 51 3" xfId="6711" xr:uid="{00000000-0005-0000-0000-0000B31A0000}"/>
    <cellStyle name="Normal 52" xfId="6712" xr:uid="{00000000-0005-0000-0000-0000B41A0000}"/>
    <cellStyle name="Normal 52 2" xfId="6713" xr:uid="{00000000-0005-0000-0000-0000B51A0000}"/>
    <cellStyle name="Normal 52 3" xfId="6714" xr:uid="{00000000-0005-0000-0000-0000B61A0000}"/>
    <cellStyle name="Normal 53" xfId="6715" xr:uid="{00000000-0005-0000-0000-0000B71A0000}"/>
    <cellStyle name="Normal 53 2" xfId="6716" xr:uid="{00000000-0005-0000-0000-0000B81A0000}"/>
    <cellStyle name="Normal 53 3" xfId="6717" xr:uid="{00000000-0005-0000-0000-0000B91A0000}"/>
    <cellStyle name="Normal 54" xfId="6718" xr:uid="{00000000-0005-0000-0000-0000BA1A0000}"/>
    <cellStyle name="Normal 54 2" xfId="6719" xr:uid="{00000000-0005-0000-0000-0000BB1A0000}"/>
    <cellStyle name="Normal 54 3" xfId="6720" xr:uid="{00000000-0005-0000-0000-0000BC1A0000}"/>
    <cellStyle name="Normal 55" xfId="6721" xr:uid="{00000000-0005-0000-0000-0000BD1A0000}"/>
    <cellStyle name="Normal 55 2" xfId="6722" xr:uid="{00000000-0005-0000-0000-0000BE1A0000}"/>
    <cellStyle name="Normal 55 3" xfId="6723" xr:uid="{00000000-0005-0000-0000-0000BF1A0000}"/>
    <cellStyle name="Normal 56" xfId="6724" xr:uid="{00000000-0005-0000-0000-0000C01A0000}"/>
    <cellStyle name="Normal 56 2" xfId="6725" xr:uid="{00000000-0005-0000-0000-0000C11A0000}"/>
    <cellStyle name="Normal 56 3" xfId="6726" xr:uid="{00000000-0005-0000-0000-0000C21A0000}"/>
    <cellStyle name="Normal 57" xfId="6727" xr:uid="{00000000-0005-0000-0000-0000C31A0000}"/>
    <cellStyle name="Normal 57 2" xfId="6728" xr:uid="{00000000-0005-0000-0000-0000C41A0000}"/>
    <cellStyle name="Normal 58" xfId="6729" xr:uid="{00000000-0005-0000-0000-0000C51A0000}"/>
    <cellStyle name="Normal 58 2" xfId="6730" xr:uid="{00000000-0005-0000-0000-0000C61A0000}"/>
    <cellStyle name="Normal 58 3" xfId="6731" xr:uid="{00000000-0005-0000-0000-0000C71A0000}"/>
    <cellStyle name="Normal 59" xfId="6732" xr:uid="{00000000-0005-0000-0000-0000C81A0000}"/>
    <cellStyle name="Normal 59 2" xfId="6733" xr:uid="{00000000-0005-0000-0000-0000C91A0000}"/>
    <cellStyle name="Normal 59 3" xfId="6734" xr:uid="{00000000-0005-0000-0000-0000CA1A0000}"/>
    <cellStyle name="Normal 6" xfId="6735" xr:uid="{00000000-0005-0000-0000-0000CB1A0000}"/>
    <cellStyle name="Normál 6" xfId="6736" xr:uid="{00000000-0005-0000-0000-0000CC1A0000}"/>
    <cellStyle name="Normal 6 2" xfId="6737" xr:uid="{00000000-0005-0000-0000-0000CD1A0000}"/>
    <cellStyle name="Normal 6 2 2" xfId="6738" xr:uid="{00000000-0005-0000-0000-0000CE1A0000}"/>
    <cellStyle name="Normal 6 2 2 2" xfId="6739" xr:uid="{00000000-0005-0000-0000-0000CF1A0000}"/>
    <cellStyle name="Normal 6 2 3" xfId="6740" xr:uid="{00000000-0005-0000-0000-0000D01A0000}"/>
    <cellStyle name="Normal 6 3" xfId="6741" xr:uid="{00000000-0005-0000-0000-0000D11A0000}"/>
    <cellStyle name="Normal 6 4" xfId="6742" xr:uid="{00000000-0005-0000-0000-0000D21A0000}"/>
    <cellStyle name="Normal 6 4 2" xfId="6743" xr:uid="{00000000-0005-0000-0000-0000D31A0000}"/>
    <cellStyle name="Normal 6 4 3" xfId="6744" xr:uid="{00000000-0005-0000-0000-0000D41A0000}"/>
    <cellStyle name="Normal 6 4 4" xfId="6745" xr:uid="{00000000-0005-0000-0000-0000D51A0000}"/>
    <cellStyle name="Normal 6 5" xfId="6746" xr:uid="{00000000-0005-0000-0000-0000D61A0000}"/>
    <cellStyle name="Normal 6 6" xfId="14682" xr:uid="{00000000-0005-0000-0000-0000D71A0000}"/>
    <cellStyle name="Normal 6 7" xfId="14711" xr:uid="{00000000-0005-0000-0000-0000D81A0000}"/>
    <cellStyle name="Normal 6 8" xfId="14696" xr:uid="{00000000-0005-0000-0000-0000D91A0000}"/>
    <cellStyle name="Normal 60" xfId="6747" xr:uid="{00000000-0005-0000-0000-0000DA1A0000}"/>
    <cellStyle name="Normal 60 2" xfId="6748" xr:uid="{00000000-0005-0000-0000-0000DB1A0000}"/>
    <cellStyle name="Normal 60 3" xfId="6749" xr:uid="{00000000-0005-0000-0000-0000DC1A0000}"/>
    <cellStyle name="Normal 61" xfId="6750" xr:uid="{00000000-0005-0000-0000-0000DD1A0000}"/>
    <cellStyle name="Normal 61 2" xfId="6751" xr:uid="{00000000-0005-0000-0000-0000DE1A0000}"/>
    <cellStyle name="Normal 62" xfId="6752" xr:uid="{00000000-0005-0000-0000-0000DF1A0000}"/>
    <cellStyle name="Normal 62 2" xfId="6753" xr:uid="{00000000-0005-0000-0000-0000E01A0000}"/>
    <cellStyle name="Normal 63" xfId="6754" xr:uid="{00000000-0005-0000-0000-0000E11A0000}"/>
    <cellStyle name="Normal 63 2" xfId="6755" xr:uid="{00000000-0005-0000-0000-0000E21A0000}"/>
    <cellStyle name="Normal 64" xfId="6756" xr:uid="{00000000-0005-0000-0000-0000E31A0000}"/>
    <cellStyle name="Normal 64 2" xfId="6757" xr:uid="{00000000-0005-0000-0000-0000E41A0000}"/>
    <cellStyle name="Normal 65" xfId="6758" xr:uid="{00000000-0005-0000-0000-0000E51A0000}"/>
    <cellStyle name="Normal 65 2" xfId="6759" xr:uid="{00000000-0005-0000-0000-0000E61A0000}"/>
    <cellStyle name="Normal 66" xfId="6760" xr:uid="{00000000-0005-0000-0000-0000E71A0000}"/>
    <cellStyle name="Normal 66 2" xfId="6761" xr:uid="{00000000-0005-0000-0000-0000E81A0000}"/>
    <cellStyle name="Normal 67" xfId="6762" xr:uid="{00000000-0005-0000-0000-0000E91A0000}"/>
    <cellStyle name="Normal 67 2" xfId="6763" xr:uid="{00000000-0005-0000-0000-0000EA1A0000}"/>
    <cellStyle name="Normal 68" xfId="6764" xr:uid="{00000000-0005-0000-0000-0000EB1A0000}"/>
    <cellStyle name="Normal 68 2" xfId="6765" xr:uid="{00000000-0005-0000-0000-0000EC1A0000}"/>
    <cellStyle name="Normal 69" xfId="6766" xr:uid="{00000000-0005-0000-0000-0000ED1A0000}"/>
    <cellStyle name="Normal 69 2" xfId="6767" xr:uid="{00000000-0005-0000-0000-0000EE1A0000}"/>
    <cellStyle name="Normal 7" xfId="6768" xr:uid="{00000000-0005-0000-0000-0000EF1A0000}"/>
    <cellStyle name="Normál 7" xfId="6769" xr:uid="{00000000-0005-0000-0000-0000F01A0000}"/>
    <cellStyle name="Normal 7 2" xfId="6770" xr:uid="{00000000-0005-0000-0000-0000F11A0000}"/>
    <cellStyle name="Normal 7 2 2" xfId="6771" xr:uid="{00000000-0005-0000-0000-0000F21A0000}"/>
    <cellStyle name="Normal 7 2 2 2" xfId="6772" xr:uid="{00000000-0005-0000-0000-0000F31A0000}"/>
    <cellStyle name="Normal 7 2 3" xfId="6773" xr:uid="{00000000-0005-0000-0000-0000F41A0000}"/>
    <cellStyle name="Normal 7 3" xfId="6774" xr:uid="{00000000-0005-0000-0000-0000F51A0000}"/>
    <cellStyle name="Normal 7 3 2" xfId="6775" xr:uid="{00000000-0005-0000-0000-0000F61A0000}"/>
    <cellStyle name="Normal 7 3 2 2" xfId="6776" xr:uid="{00000000-0005-0000-0000-0000F71A0000}"/>
    <cellStyle name="Normal 7 3 3" xfId="6777" xr:uid="{00000000-0005-0000-0000-0000F81A0000}"/>
    <cellStyle name="Normal 7 4" xfId="6778" xr:uid="{00000000-0005-0000-0000-0000F91A0000}"/>
    <cellStyle name="Normal 7 4 2" xfId="6779" xr:uid="{00000000-0005-0000-0000-0000FA1A0000}"/>
    <cellStyle name="Normal 7 5" xfId="6780" xr:uid="{00000000-0005-0000-0000-0000FB1A0000}"/>
    <cellStyle name="Normal 7 5 2" xfId="14743" xr:uid="{00000000-0005-0000-0000-0000FC1A0000}"/>
    <cellStyle name="Normal 7 6" xfId="6781" xr:uid="{00000000-0005-0000-0000-0000FD1A0000}"/>
    <cellStyle name="Normal 7 6 2" xfId="14762" xr:uid="{00000000-0005-0000-0000-0000FE1A0000}"/>
    <cellStyle name="Normal 7 7" xfId="6782" xr:uid="{00000000-0005-0000-0000-0000FF1A0000}"/>
    <cellStyle name="Normal 7 8" xfId="6783" xr:uid="{00000000-0005-0000-0000-0000001B0000}"/>
    <cellStyle name="Normal 70" xfId="6784" xr:uid="{00000000-0005-0000-0000-0000011B0000}"/>
    <cellStyle name="Normal 70 2" xfId="6785" xr:uid="{00000000-0005-0000-0000-0000021B0000}"/>
    <cellStyle name="Normal 71" xfId="6786" xr:uid="{00000000-0005-0000-0000-0000031B0000}"/>
    <cellStyle name="Normal 71 2" xfId="6787" xr:uid="{00000000-0005-0000-0000-0000041B0000}"/>
    <cellStyle name="Normal 72" xfId="6788" xr:uid="{00000000-0005-0000-0000-0000051B0000}"/>
    <cellStyle name="Normal 72 2" xfId="6789" xr:uid="{00000000-0005-0000-0000-0000061B0000}"/>
    <cellStyle name="Normal 73" xfId="6790" xr:uid="{00000000-0005-0000-0000-0000071B0000}"/>
    <cellStyle name="Normal 73 2" xfId="6791" xr:uid="{00000000-0005-0000-0000-0000081B0000}"/>
    <cellStyle name="Normal 74" xfId="6792" xr:uid="{00000000-0005-0000-0000-0000091B0000}"/>
    <cellStyle name="Normal 74 2" xfId="6793" xr:uid="{00000000-0005-0000-0000-00000A1B0000}"/>
    <cellStyle name="Normal 75" xfId="6794" xr:uid="{00000000-0005-0000-0000-00000B1B0000}"/>
    <cellStyle name="Normal 75 2" xfId="6795" xr:uid="{00000000-0005-0000-0000-00000C1B0000}"/>
    <cellStyle name="Normal 76" xfId="6796" xr:uid="{00000000-0005-0000-0000-00000D1B0000}"/>
    <cellStyle name="Normal 76 2" xfId="6797" xr:uid="{00000000-0005-0000-0000-00000E1B0000}"/>
    <cellStyle name="Normal 77" xfId="6798" xr:uid="{00000000-0005-0000-0000-00000F1B0000}"/>
    <cellStyle name="Normal 77 2" xfId="6799" xr:uid="{00000000-0005-0000-0000-0000101B0000}"/>
    <cellStyle name="Normal 78" xfId="6800" xr:uid="{00000000-0005-0000-0000-0000111B0000}"/>
    <cellStyle name="Normal 78 2" xfId="14802" xr:uid="{00000000-0005-0000-0000-0000121B0000}"/>
    <cellStyle name="Normal 79" xfId="6801" xr:uid="{00000000-0005-0000-0000-0000131B0000}"/>
    <cellStyle name="Normal 79 2" xfId="14803" xr:uid="{00000000-0005-0000-0000-0000141B0000}"/>
    <cellStyle name="Normal 8" xfId="6802" xr:uid="{00000000-0005-0000-0000-0000151B0000}"/>
    <cellStyle name="Normal 8 2" xfId="6803" xr:uid="{00000000-0005-0000-0000-0000161B0000}"/>
    <cellStyle name="Normal 8 2 2" xfId="6804" xr:uid="{00000000-0005-0000-0000-0000171B0000}"/>
    <cellStyle name="Normal 8 2 2 2" xfId="6805" xr:uid="{00000000-0005-0000-0000-0000181B0000}"/>
    <cellStyle name="Normal 8 2 3" xfId="6806" xr:uid="{00000000-0005-0000-0000-0000191B0000}"/>
    <cellStyle name="Normal 8 3" xfId="6807" xr:uid="{00000000-0005-0000-0000-00001A1B0000}"/>
    <cellStyle name="Normal 8 4" xfId="6808" xr:uid="{00000000-0005-0000-0000-00001B1B0000}"/>
    <cellStyle name="Normal 8 5" xfId="6809" xr:uid="{00000000-0005-0000-0000-00001C1B0000}"/>
    <cellStyle name="Normal 80" xfId="6810" xr:uid="{00000000-0005-0000-0000-00001D1B0000}"/>
    <cellStyle name="Normal 80 2" xfId="6811" xr:uid="{00000000-0005-0000-0000-00001E1B0000}"/>
    <cellStyle name="Normal 81" xfId="6812" xr:uid="{00000000-0005-0000-0000-00001F1B0000}"/>
    <cellStyle name="Normal 81 2" xfId="6813" xr:uid="{00000000-0005-0000-0000-0000201B0000}"/>
    <cellStyle name="Normal 82" xfId="6814" xr:uid="{00000000-0005-0000-0000-0000211B0000}"/>
    <cellStyle name="Normal 82 2" xfId="6815" xr:uid="{00000000-0005-0000-0000-0000221B0000}"/>
    <cellStyle name="Normal 83" xfId="6816" xr:uid="{00000000-0005-0000-0000-0000231B0000}"/>
    <cellStyle name="Normal 83 2" xfId="6817" xr:uid="{00000000-0005-0000-0000-0000241B0000}"/>
    <cellStyle name="Normal 84" xfId="6818" xr:uid="{00000000-0005-0000-0000-0000251B0000}"/>
    <cellStyle name="Normal 85" xfId="6819" xr:uid="{00000000-0005-0000-0000-0000261B0000}"/>
    <cellStyle name="Normal 85 2" xfId="6820" xr:uid="{00000000-0005-0000-0000-0000271B0000}"/>
    <cellStyle name="Normal 86" xfId="6821" xr:uid="{00000000-0005-0000-0000-0000281B0000}"/>
    <cellStyle name="Normal 87" xfId="6822" xr:uid="{00000000-0005-0000-0000-0000291B0000}"/>
    <cellStyle name="Normal 88" xfId="6823" xr:uid="{00000000-0005-0000-0000-00002A1B0000}"/>
    <cellStyle name="Normal 89" xfId="6824" xr:uid="{00000000-0005-0000-0000-00002B1B0000}"/>
    <cellStyle name="Normal 9" xfId="6825" xr:uid="{00000000-0005-0000-0000-00002C1B0000}"/>
    <cellStyle name="Normal 9 2" xfId="6826" xr:uid="{00000000-0005-0000-0000-00002D1B0000}"/>
    <cellStyle name="Normal 9 2 2" xfId="6827" xr:uid="{00000000-0005-0000-0000-00002E1B0000}"/>
    <cellStyle name="Normal 9 2 2 2" xfId="6828" xr:uid="{00000000-0005-0000-0000-00002F1B0000}"/>
    <cellStyle name="Normal 9 2 3" xfId="6829" xr:uid="{00000000-0005-0000-0000-0000301B0000}"/>
    <cellStyle name="Normal 9 3" xfId="6830" xr:uid="{00000000-0005-0000-0000-0000311B0000}"/>
    <cellStyle name="Normal 9 3 2" xfId="6831" xr:uid="{00000000-0005-0000-0000-0000321B0000}"/>
    <cellStyle name="Normal 9 3 2 2" xfId="6832" xr:uid="{00000000-0005-0000-0000-0000331B0000}"/>
    <cellStyle name="Normal 9 3 3" xfId="6833" xr:uid="{00000000-0005-0000-0000-0000341B0000}"/>
    <cellStyle name="Normal 9 4" xfId="6834" xr:uid="{00000000-0005-0000-0000-0000351B0000}"/>
    <cellStyle name="Normal 9 4 2" xfId="6835" xr:uid="{00000000-0005-0000-0000-0000361B0000}"/>
    <cellStyle name="Normal 9 5" xfId="6836" xr:uid="{00000000-0005-0000-0000-0000371B0000}"/>
    <cellStyle name="Normal 9 5 2" xfId="6837" xr:uid="{00000000-0005-0000-0000-0000381B0000}"/>
    <cellStyle name="Normal 9 6" xfId="6838" xr:uid="{00000000-0005-0000-0000-0000391B0000}"/>
    <cellStyle name="Normal 90" xfId="6839" xr:uid="{00000000-0005-0000-0000-00003A1B0000}"/>
    <cellStyle name="Normal 91" xfId="6840" xr:uid="{00000000-0005-0000-0000-00003B1B0000}"/>
    <cellStyle name="Normal 92" xfId="6841" xr:uid="{00000000-0005-0000-0000-00003C1B0000}"/>
    <cellStyle name="Normal 93" xfId="6842" xr:uid="{00000000-0005-0000-0000-00003D1B0000}"/>
    <cellStyle name="Normal 94" xfId="6843" xr:uid="{00000000-0005-0000-0000-00003E1B0000}"/>
    <cellStyle name="Normal 95" xfId="6844" xr:uid="{00000000-0005-0000-0000-00003F1B0000}"/>
    <cellStyle name="Normal 96" xfId="6845" xr:uid="{00000000-0005-0000-0000-0000401B0000}"/>
    <cellStyle name="Normal 97" xfId="6846" xr:uid="{00000000-0005-0000-0000-0000411B0000}"/>
    <cellStyle name="Normal 98" xfId="6847" xr:uid="{00000000-0005-0000-0000-0000421B0000}"/>
    <cellStyle name="Normal 99" xfId="6848" xr:uid="{00000000-0005-0000-0000-0000431B0000}"/>
    <cellStyle name="Normal_fromFrance01" xfId="6" xr:uid="{00000000-0005-0000-0000-0000441B0000}"/>
    <cellStyle name="Normal_fromFrance01 3" xfId="14" xr:uid="{00000000-0005-0000-0000-0000451B0000}"/>
    <cellStyle name="Normal_fromFrance01 3 2" xfId="14655" xr:uid="{00000000-0005-0000-0000-0000461B0000}"/>
    <cellStyle name="Normal_home2" xfId="14907" xr:uid="{00000000-0005-0000-0000-0000471B0000}"/>
    <cellStyle name="Normál_Munka1" xfId="6849" xr:uid="{00000000-0005-0000-0000-0000481B0000}"/>
    <cellStyle name="Normal_Workshop - Sample-Final- Determined Costs Mt 2" xfId="5" xr:uid="{00000000-0005-0000-0000-0000491B0000}"/>
    <cellStyle name="Normale" xfId="6850" xr:uid="{00000000-0005-0000-0000-00004A1B0000}"/>
    <cellStyle name="Normale 10" xfId="6851" xr:uid="{00000000-0005-0000-0000-00004B1B0000}"/>
    <cellStyle name="Normale 10 2" xfId="6852" xr:uid="{00000000-0005-0000-0000-00004C1B0000}"/>
    <cellStyle name="Normale 10 2 2" xfId="6853" xr:uid="{00000000-0005-0000-0000-00004D1B0000}"/>
    <cellStyle name="Normale 10 3" xfId="6854" xr:uid="{00000000-0005-0000-0000-00004E1B0000}"/>
    <cellStyle name="Normale 10 3 2" xfId="6855" xr:uid="{00000000-0005-0000-0000-00004F1B0000}"/>
    <cellStyle name="Normale 10 4" xfId="6856" xr:uid="{00000000-0005-0000-0000-0000501B0000}"/>
    <cellStyle name="Normale 10 5" xfId="14824" xr:uid="{00000000-0005-0000-0000-0000511B0000}"/>
    <cellStyle name="Normale 11" xfId="6857" xr:uid="{00000000-0005-0000-0000-0000521B0000}"/>
    <cellStyle name="Normale 11 2" xfId="6858" xr:uid="{00000000-0005-0000-0000-0000531B0000}"/>
    <cellStyle name="Normale 11 2 2" xfId="6859" xr:uid="{00000000-0005-0000-0000-0000541B0000}"/>
    <cellStyle name="Normale 11 3" xfId="6860" xr:uid="{00000000-0005-0000-0000-0000551B0000}"/>
    <cellStyle name="Normale 11 3 2" xfId="6861" xr:uid="{00000000-0005-0000-0000-0000561B0000}"/>
    <cellStyle name="Normale 11 4" xfId="6862" xr:uid="{00000000-0005-0000-0000-0000571B0000}"/>
    <cellStyle name="Normale 12" xfId="6863" xr:uid="{00000000-0005-0000-0000-0000581B0000}"/>
    <cellStyle name="Normale 12 2" xfId="6864" xr:uid="{00000000-0005-0000-0000-0000591B0000}"/>
    <cellStyle name="Normale 12 2 2" xfId="6865" xr:uid="{00000000-0005-0000-0000-00005A1B0000}"/>
    <cellStyle name="Normale 12 3" xfId="6866" xr:uid="{00000000-0005-0000-0000-00005B1B0000}"/>
    <cellStyle name="Normale 12 3 2" xfId="6867" xr:uid="{00000000-0005-0000-0000-00005C1B0000}"/>
    <cellStyle name="Normale 12 4" xfId="6868" xr:uid="{00000000-0005-0000-0000-00005D1B0000}"/>
    <cellStyle name="Normale 13" xfId="6869" xr:uid="{00000000-0005-0000-0000-00005E1B0000}"/>
    <cellStyle name="Normale 13 2" xfId="6870" xr:uid="{00000000-0005-0000-0000-00005F1B0000}"/>
    <cellStyle name="Normale 13 2 2" xfId="6871" xr:uid="{00000000-0005-0000-0000-0000601B0000}"/>
    <cellStyle name="Normale 13 3" xfId="6872" xr:uid="{00000000-0005-0000-0000-0000611B0000}"/>
    <cellStyle name="Normale 13 3 2" xfId="6873" xr:uid="{00000000-0005-0000-0000-0000621B0000}"/>
    <cellStyle name="Normale 13 4" xfId="6874" xr:uid="{00000000-0005-0000-0000-0000631B0000}"/>
    <cellStyle name="Normale 14" xfId="6875" xr:uid="{00000000-0005-0000-0000-0000641B0000}"/>
    <cellStyle name="Normale 14 2" xfId="6876" xr:uid="{00000000-0005-0000-0000-0000651B0000}"/>
    <cellStyle name="Normale 14 2 2" xfId="6877" xr:uid="{00000000-0005-0000-0000-0000661B0000}"/>
    <cellStyle name="Normale 14 3" xfId="6878" xr:uid="{00000000-0005-0000-0000-0000671B0000}"/>
    <cellStyle name="Normale 14 3 2" xfId="6879" xr:uid="{00000000-0005-0000-0000-0000681B0000}"/>
    <cellStyle name="Normale 14 4" xfId="6880" xr:uid="{00000000-0005-0000-0000-0000691B0000}"/>
    <cellStyle name="Normale 15" xfId="6881" xr:uid="{00000000-0005-0000-0000-00006A1B0000}"/>
    <cellStyle name="Normale 15 2" xfId="6882" xr:uid="{00000000-0005-0000-0000-00006B1B0000}"/>
    <cellStyle name="Normale 15 2 2" xfId="6883" xr:uid="{00000000-0005-0000-0000-00006C1B0000}"/>
    <cellStyle name="Normale 15 3" xfId="6884" xr:uid="{00000000-0005-0000-0000-00006D1B0000}"/>
    <cellStyle name="Normale 15 3 2" xfId="6885" xr:uid="{00000000-0005-0000-0000-00006E1B0000}"/>
    <cellStyle name="Normale 15 4" xfId="6886" xr:uid="{00000000-0005-0000-0000-00006F1B0000}"/>
    <cellStyle name="Normale 16" xfId="6887" xr:uid="{00000000-0005-0000-0000-0000701B0000}"/>
    <cellStyle name="Normale 16 2" xfId="6888" xr:uid="{00000000-0005-0000-0000-0000711B0000}"/>
    <cellStyle name="Normale 16 2 2" xfId="6889" xr:uid="{00000000-0005-0000-0000-0000721B0000}"/>
    <cellStyle name="Normale 16 3" xfId="6890" xr:uid="{00000000-0005-0000-0000-0000731B0000}"/>
    <cellStyle name="Normale 16 3 2" xfId="6891" xr:uid="{00000000-0005-0000-0000-0000741B0000}"/>
    <cellStyle name="Normale 16 4" xfId="6892" xr:uid="{00000000-0005-0000-0000-0000751B0000}"/>
    <cellStyle name="Normale 17" xfId="6893" xr:uid="{00000000-0005-0000-0000-0000761B0000}"/>
    <cellStyle name="Normale 17 2" xfId="6894" xr:uid="{00000000-0005-0000-0000-0000771B0000}"/>
    <cellStyle name="Normale 17 2 2" xfId="6895" xr:uid="{00000000-0005-0000-0000-0000781B0000}"/>
    <cellStyle name="Normale 17 3" xfId="6896" xr:uid="{00000000-0005-0000-0000-0000791B0000}"/>
    <cellStyle name="Normale 17 3 2" xfId="6897" xr:uid="{00000000-0005-0000-0000-00007A1B0000}"/>
    <cellStyle name="Normale 17 4" xfId="6898" xr:uid="{00000000-0005-0000-0000-00007B1B0000}"/>
    <cellStyle name="Normale 18" xfId="6899" xr:uid="{00000000-0005-0000-0000-00007C1B0000}"/>
    <cellStyle name="Normale 18 2" xfId="6900" xr:uid="{00000000-0005-0000-0000-00007D1B0000}"/>
    <cellStyle name="Normale 18 2 2" xfId="6901" xr:uid="{00000000-0005-0000-0000-00007E1B0000}"/>
    <cellStyle name="Normale 18 3" xfId="6902" xr:uid="{00000000-0005-0000-0000-00007F1B0000}"/>
    <cellStyle name="Normale 18 3 2" xfId="6903" xr:uid="{00000000-0005-0000-0000-0000801B0000}"/>
    <cellStyle name="Normale 18 4" xfId="6904" xr:uid="{00000000-0005-0000-0000-0000811B0000}"/>
    <cellStyle name="Normale 19" xfId="6905" xr:uid="{00000000-0005-0000-0000-0000821B0000}"/>
    <cellStyle name="Normale 19 2" xfId="6906" xr:uid="{00000000-0005-0000-0000-0000831B0000}"/>
    <cellStyle name="Normale 19 2 2" xfId="6907" xr:uid="{00000000-0005-0000-0000-0000841B0000}"/>
    <cellStyle name="Normale 19 3" xfId="6908" xr:uid="{00000000-0005-0000-0000-0000851B0000}"/>
    <cellStyle name="Normale 19 3 2" xfId="6909" xr:uid="{00000000-0005-0000-0000-0000861B0000}"/>
    <cellStyle name="Normale 19 4" xfId="6910" xr:uid="{00000000-0005-0000-0000-0000871B0000}"/>
    <cellStyle name="Normale 2" xfId="6911" xr:uid="{00000000-0005-0000-0000-0000881B0000}"/>
    <cellStyle name="Normale 2 10" xfId="6912" xr:uid="{00000000-0005-0000-0000-0000891B0000}"/>
    <cellStyle name="Normale 2 11" xfId="6913" xr:uid="{00000000-0005-0000-0000-00008A1B0000}"/>
    <cellStyle name="Normale 2 2" xfId="6914" xr:uid="{00000000-0005-0000-0000-00008B1B0000}"/>
    <cellStyle name="Normale 2 2 10" xfId="6915" xr:uid="{00000000-0005-0000-0000-00008C1B0000}"/>
    <cellStyle name="Normale 2 2 10 2" xfId="6916" xr:uid="{00000000-0005-0000-0000-00008D1B0000}"/>
    <cellStyle name="Normale 2 2 11" xfId="14723" xr:uid="{00000000-0005-0000-0000-00008E1B0000}"/>
    <cellStyle name="Normale 2 2 2" xfId="6917" xr:uid="{00000000-0005-0000-0000-00008F1B0000}"/>
    <cellStyle name="Normale 2 2 2 2" xfId="6918" xr:uid="{00000000-0005-0000-0000-0000901B0000}"/>
    <cellStyle name="Normale 2 2 3" xfId="6919" xr:uid="{00000000-0005-0000-0000-0000911B0000}"/>
    <cellStyle name="Normale 2 2 3 2" xfId="6920" xr:uid="{00000000-0005-0000-0000-0000921B0000}"/>
    <cellStyle name="Normale 2 2 3 2 2" xfId="6921" xr:uid="{00000000-0005-0000-0000-0000931B0000}"/>
    <cellStyle name="Normale 2 2 3 2 2 2" xfId="6922" xr:uid="{00000000-0005-0000-0000-0000941B0000}"/>
    <cellStyle name="Normale 2 2 3 2 2 2 2" xfId="6923" xr:uid="{00000000-0005-0000-0000-0000951B0000}"/>
    <cellStyle name="Normale 2 2 3 2 2 3" xfId="6924" xr:uid="{00000000-0005-0000-0000-0000961B0000}"/>
    <cellStyle name="Normale 2 2 3 3" xfId="6925" xr:uid="{00000000-0005-0000-0000-0000971B0000}"/>
    <cellStyle name="Normale 2 2 3 4" xfId="6926" xr:uid="{00000000-0005-0000-0000-0000981B0000}"/>
    <cellStyle name="Normale 2 2 3 4 2" xfId="6927" xr:uid="{00000000-0005-0000-0000-0000991B0000}"/>
    <cellStyle name="Normale 2 2 3 4 2 2" xfId="6928" xr:uid="{00000000-0005-0000-0000-00009A1B0000}"/>
    <cellStyle name="Normale 2 2 3 4 3" xfId="6929" xr:uid="{00000000-0005-0000-0000-00009B1B0000}"/>
    <cellStyle name="Normale 2 2 3 5" xfId="6930" xr:uid="{00000000-0005-0000-0000-00009C1B0000}"/>
    <cellStyle name="Normale 2 2 3 5 2" xfId="6931" xr:uid="{00000000-0005-0000-0000-00009D1B0000}"/>
    <cellStyle name="Normale 2 2 3 6" xfId="6932" xr:uid="{00000000-0005-0000-0000-00009E1B0000}"/>
    <cellStyle name="Normale 2 2 3 6 2" xfId="14744" xr:uid="{00000000-0005-0000-0000-00009F1B0000}"/>
    <cellStyle name="Normale 2 2 3 7" xfId="6933" xr:uid="{00000000-0005-0000-0000-0000A01B0000}"/>
    <cellStyle name="Normale 2 2 3 7 2" xfId="14763" xr:uid="{00000000-0005-0000-0000-0000A11B0000}"/>
    <cellStyle name="Normale 2 2 3 8" xfId="14724" xr:uid="{00000000-0005-0000-0000-0000A21B0000}"/>
    <cellStyle name="Normale 2 2 3_Italy RT - TNC 2012_JUN_V01_C_31052012_check" xfId="6934" xr:uid="{00000000-0005-0000-0000-0000A31B0000}"/>
    <cellStyle name="Normale 2 2 4" xfId="6935" xr:uid="{00000000-0005-0000-0000-0000A41B0000}"/>
    <cellStyle name="Normale 2 2 4 2" xfId="6936" xr:uid="{00000000-0005-0000-0000-0000A51B0000}"/>
    <cellStyle name="Normale 2 2 4 2 2" xfId="6937" xr:uid="{00000000-0005-0000-0000-0000A61B0000}"/>
    <cellStyle name="Normale 2 2 4 2 2 2" xfId="6938" xr:uid="{00000000-0005-0000-0000-0000A71B0000}"/>
    <cellStyle name="Normale 2 2 4 2 3" xfId="6939" xr:uid="{00000000-0005-0000-0000-0000A81B0000}"/>
    <cellStyle name="Normale 2 2 5" xfId="6940" xr:uid="{00000000-0005-0000-0000-0000A91B0000}"/>
    <cellStyle name="Normale 2 2 6" xfId="6941" xr:uid="{00000000-0005-0000-0000-0000AA1B0000}"/>
    <cellStyle name="Normale 2 2 7" xfId="6942" xr:uid="{00000000-0005-0000-0000-0000AB1B0000}"/>
    <cellStyle name="Normale 2 2 7 2" xfId="6943" xr:uid="{00000000-0005-0000-0000-0000AC1B0000}"/>
    <cellStyle name="Normale 2 2 7 2 2" xfId="6944" xr:uid="{00000000-0005-0000-0000-0000AD1B0000}"/>
    <cellStyle name="Normale 2 2 7 3" xfId="6945" xr:uid="{00000000-0005-0000-0000-0000AE1B0000}"/>
    <cellStyle name="Normale 2 2 8" xfId="6946" xr:uid="{00000000-0005-0000-0000-0000AF1B0000}"/>
    <cellStyle name="Normale 2 2 8 2" xfId="6947" xr:uid="{00000000-0005-0000-0000-0000B01B0000}"/>
    <cellStyle name="Normale 2 2 9" xfId="6948" xr:uid="{00000000-0005-0000-0000-0000B11B0000}"/>
    <cellStyle name="Normale 2 2 9 2" xfId="6949" xr:uid="{00000000-0005-0000-0000-0000B21B0000}"/>
    <cellStyle name="Normale 2 2 9 3" xfId="6950" xr:uid="{00000000-0005-0000-0000-0000B31B0000}"/>
    <cellStyle name="Normale 2 2 9 4" xfId="6951" xr:uid="{00000000-0005-0000-0000-0000B41B0000}"/>
    <cellStyle name="Normale 2 2_Additional information tables" xfId="6952" xr:uid="{00000000-0005-0000-0000-0000B51B0000}"/>
    <cellStyle name="Normale 2 3" xfId="6953" xr:uid="{00000000-0005-0000-0000-0000B61B0000}"/>
    <cellStyle name="Normale 2 3 2" xfId="6954" xr:uid="{00000000-0005-0000-0000-0000B71B0000}"/>
    <cellStyle name="Normale 2 4" xfId="6955" xr:uid="{00000000-0005-0000-0000-0000B81B0000}"/>
    <cellStyle name="Normale 2 4 2" xfId="6956" xr:uid="{00000000-0005-0000-0000-0000B91B0000}"/>
    <cellStyle name="Normale 2 4 2 2" xfId="6957" xr:uid="{00000000-0005-0000-0000-0000BA1B0000}"/>
    <cellStyle name="Normale 2 4 2 2 2" xfId="6958" xr:uid="{00000000-0005-0000-0000-0000BB1B0000}"/>
    <cellStyle name="Normale 2 4 2 2 2 2" xfId="6959" xr:uid="{00000000-0005-0000-0000-0000BC1B0000}"/>
    <cellStyle name="Normale 2 4 2 2 3" xfId="6960" xr:uid="{00000000-0005-0000-0000-0000BD1B0000}"/>
    <cellStyle name="Normale 2 4 2 3" xfId="6961" xr:uid="{00000000-0005-0000-0000-0000BE1B0000}"/>
    <cellStyle name="Normale 2 4 2 3 2" xfId="6962" xr:uid="{00000000-0005-0000-0000-0000BF1B0000}"/>
    <cellStyle name="Normale 2 4 2 4" xfId="6963" xr:uid="{00000000-0005-0000-0000-0000C01B0000}"/>
    <cellStyle name="Normale 2 4 3" xfId="6964" xr:uid="{00000000-0005-0000-0000-0000C11B0000}"/>
    <cellStyle name="Normale 2 4 4" xfId="6965" xr:uid="{00000000-0005-0000-0000-0000C21B0000}"/>
    <cellStyle name="Normale 2 4 4 2" xfId="6966" xr:uid="{00000000-0005-0000-0000-0000C31B0000}"/>
    <cellStyle name="Normale 2 4 4 2 2" xfId="6967" xr:uid="{00000000-0005-0000-0000-0000C41B0000}"/>
    <cellStyle name="Normale 2 4 4 3" xfId="6968" xr:uid="{00000000-0005-0000-0000-0000C51B0000}"/>
    <cellStyle name="Normale 2 4 5" xfId="6969" xr:uid="{00000000-0005-0000-0000-0000C61B0000}"/>
    <cellStyle name="Normale 2 4 5 2" xfId="6970" xr:uid="{00000000-0005-0000-0000-0000C71B0000}"/>
    <cellStyle name="Normale 2 4 6" xfId="6971" xr:uid="{00000000-0005-0000-0000-0000C81B0000}"/>
    <cellStyle name="Normale 2 4 6 2" xfId="14745" xr:uid="{00000000-0005-0000-0000-0000C91B0000}"/>
    <cellStyle name="Normale 2 4 7" xfId="6972" xr:uid="{00000000-0005-0000-0000-0000CA1B0000}"/>
    <cellStyle name="Normale 2 4 7 2" xfId="14764" xr:uid="{00000000-0005-0000-0000-0000CB1B0000}"/>
    <cellStyle name="Normale 2 4 8" xfId="14725" xr:uid="{00000000-0005-0000-0000-0000CC1B0000}"/>
    <cellStyle name="Normale 2 5" xfId="6973" xr:uid="{00000000-0005-0000-0000-0000CD1B0000}"/>
    <cellStyle name="Normale 2 6" xfId="6974" xr:uid="{00000000-0005-0000-0000-0000CE1B0000}"/>
    <cellStyle name="Normale 2 7" xfId="6975" xr:uid="{00000000-0005-0000-0000-0000CF1B0000}"/>
    <cellStyle name="Normale 2 8" xfId="6976" xr:uid="{00000000-0005-0000-0000-0000D01B0000}"/>
    <cellStyle name="Normale 2 9" xfId="6977" xr:uid="{00000000-0005-0000-0000-0000D11B0000}"/>
    <cellStyle name="Normale 20" xfId="6978" xr:uid="{00000000-0005-0000-0000-0000D21B0000}"/>
    <cellStyle name="Normale 20 2" xfId="6979" xr:uid="{00000000-0005-0000-0000-0000D31B0000}"/>
    <cellStyle name="Normale 20 2 2" xfId="6980" xr:uid="{00000000-0005-0000-0000-0000D41B0000}"/>
    <cellStyle name="Normale 20 3" xfId="6981" xr:uid="{00000000-0005-0000-0000-0000D51B0000}"/>
    <cellStyle name="Normale 20 3 2" xfId="6982" xr:uid="{00000000-0005-0000-0000-0000D61B0000}"/>
    <cellStyle name="Normale 20 4" xfId="6983" xr:uid="{00000000-0005-0000-0000-0000D71B0000}"/>
    <cellStyle name="Normale 21" xfId="6984" xr:uid="{00000000-0005-0000-0000-0000D81B0000}"/>
    <cellStyle name="Normale 21 2" xfId="6985" xr:uid="{00000000-0005-0000-0000-0000D91B0000}"/>
    <cellStyle name="Normale 21 2 2" xfId="6986" xr:uid="{00000000-0005-0000-0000-0000DA1B0000}"/>
    <cellStyle name="Normale 21 3" xfId="6987" xr:uid="{00000000-0005-0000-0000-0000DB1B0000}"/>
    <cellStyle name="Normale 21 3 2" xfId="6988" xr:uid="{00000000-0005-0000-0000-0000DC1B0000}"/>
    <cellStyle name="Normale 21 4" xfId="6989" xr:uid="{00000000-0005-0000-0000-0000DD1B0000}"/>
    <cellStyle name="Normale 22" xfId="6990" xr:uid="{00000000-0005-0000-0000-0000DE1B0000}"/>
    <cellStyle name="Normale 22 2" xfId="6991" xr:uid="{00000000-0005-0000-0000-0000DF1B0000}"/>
    <cellStyle name="Normale 22 2 2" xfId="6992" xr:uid="{00000000-0005-0000-0000-0000E01B0000}"/>
    <cellStyle name="Normale 22 3" xfId="6993" xr:uid="{00000000-0005-0000-0000-0000E11B0000}"/>
    <cellStyle name="Normale 22 3 2" xfId="6994" xr:uid="{00000000-0005-0000-0000-0000E21B0000}"/>
    <cellStyle name="Normale 22 4" xfId="6995" xr:uid="{00000000-0005-0000-0000-0000E31B0000}"/>
    <cellStyle name="Normale 23" xfId="6996" xr:uid="{00000000-0005-0000-0000-0000E41B0000}"/>
    <cellStyle name="Normale 23 2" xfId="6997" xr:uid="{00000000-0005-0000-0000-0000E51B0000}"/>
    <cellStyle name="Normale 23 2 2" xfId="6998" xr:uid="{00000000-0005-0000-0000-0000E61B0000}"/>
    <cellStyle name="Normale 23 3" xfId="6999" xr:uid="{00000000-0005-0000-0000-0000E71B0000}"/>
    <cellStyle name="Normale 23 3 2" xfId="7000" xr:uid="{00000000-0005-0000-0000-0000E81B0000}"/>
    <cellStyle name="Normale 23 4" xfId="7001" xr:uid="{00000000-0005-0000-0000-0000E91B0000}"/>
    <cellStyle name="Normale 24" xfId="7002" xr:uid="{00000000-0005-0000-0000-0000EA1B0000}"/>
    <cellStyle name="Normale 24 2" xfId="7003" xr:uid="{00000000-0005-0000-0000-0000EB1B0000}"/>
    <cellStyle name="Normale 24 2 2" xfId="7004" xr:uid="{00000000-0005-0000-0000-0000EC1B0000}"/>
    <cellStyle name="Normale 24 3" xfId="7005" xr:uid="{00000000-0005-0000-0000-0000ED1B0000}"/>
    <cellStyle name="Normale 24 3 2" xfId="7006" xr:uid="{00000000-0005-0000-0000-0000EE1B0000}"/>
    <cellStyle name="Normale 24 4" xfId="7007" xr:uid="{00000000-0005-0000-0000-0000EF1B0000}"/>
    <cellStyle name="Normale 25" xfId="7008" xr:uid="{00000000-0005-0000-0000-0000F01B0000}"/>
    <cellStyle name="Normale 25 2" xfId="7009" xr:uid="{00000000-0005-0000-0000-0000F11B0000}"/>
    <cellStyle name="Normale 25 2 2" xfId="7010" xr:uid="{00000000-0005-0000-0000-0000F21B0000}"/>
    <cellStyle name="Normale 25 3" xfId="7011" xr:uid="{00000000-0005-0000-0000-0000F31B0000}"/>
    <cellStyle name="Normale 25 3 2" xfId="7012" xr:uid="{00000000-0005-0000-0000-0000F41B0000}"/>
    <cellStyle name="Normale 25 4" xfId="7013" xr:uid="{00000000-0005-0000-0000-0000F51B0000}"/>
    <cellStyle name="Normale 26" xfId="7014" xr:uid="{00000000-0005-0000-0000-0000F61B0000}"/>
    <cellStyle name="Normale 26 2" xfId="7015" xr:uid="{00000000-0005-0000-0000-0000F71B0000}"/>
    <cellStyle name="Normale 26 2 2" xfId="7016" xr:uid="{00000000-0005-0000-0000-0000F81B0000}"/>
    <cellStyle name="Normale 26 3" xfId="7017" xr:uid="{00000000-0005-0000-0000-0000F91B0000}"/>
    <cellStyle name="Normale 26 3 2" xfId="7018" xr:uid="{00000000-0005-0000-0000-0000FA1B0000}"/>
    <cellStyle name="Normale 26 4" xfId="7019" xr:uid="{00000000-0005-0000-0000-0000FB1B0000}"/>
    <cellStyle name="Normale 27" xfId="7020" xr:uid="{00000000-0005-0000-0000-0000FC1B0000}"/>
    <cellStyle name="Normale 27 2" xfId="7021" xr:uid="{00000000-0005-0000-0000-0000FD1B0000}"/>
    <cellStyle name="Normale 27 2 2" xfId="7022" xr:uid="{00000000-0005-0000-0000-0000FE1B0000}"/>
    <cellStyle name="Normale 27 2 2 2" xfId="7023" xr:uid="{00000000-0005-0000-0000-0000FF1B0000}"/>
    <cellStyle name="Normale 27 2 2 2 2" xfId="7024" xr:uid="{00000000-0005-0000-0000-0000001C0000}"/>
    <cellStyle name="Normale 27 2 2 3" xfId="7025" xr:uid="{00000000-0005-0000-0000-0000011C0000}"/>
    <cellStyle name="Normale 27 2 3" xfId="7026" xr:uid="{00000000-0005-0000-0000-0000021C0000}"/>
    <cellStyle name="Normale 27 2 3 2" xfId="7027" xr:uid="{00000000-0005-0000-0000-0000031C0000}"/>
    <cellStyle name="Normale 27 2 4" xfId="7028" xr:uid="{00000000-0005-0000-0000-0000041C0000}"/>
    <cellStyle name="Normale 27 3" xfId="7029" xr:uid="{00000000-0005-0000-0000-0000051C0000}"/>
    <cellStyle name="Normale 27 4" xfId="7030" xr:uid="{00000000-0005-0000-0000-0000061C0000}"/>
    <cellStyle name="Normale 27 4 2" xfId="7031" xr:uid="{00000000-0005-0000-0000-0000071C0000}"/>
    <cellStyle name="Normale 27 4 2 2" xfId="7032" xr:uid="{00000000-0005-0000-0000-0000081C0000}"/>
    <cellStyle name="Normale 27 4 3" xfId="7033" xr:uid="{00000000-0005-0000-0000-0000091C0000}"/>
    <cellStyle name="Normale 27 5" xfId="7034" xr:uid="{00000000-0005-0000-0000-00000A1C0000}"/>
    <cellStyle name="Normale 27 5 2" xfId="7035" xr:uid="{00000000-0005-0000-0000-00000B1C0000}"/>
    <cellStyle name="Normale 27 6" xfId="7036" xr:uid="{00000000-0005-0000-0000-00000C1C0000}"/>
    <cellStyle name="Normale 27 6 2" xfId="14746" xr:uid="{00000000-0005-0000-0000-00000D1C0000}"/>
    <cellStyle name="Normale 27 7" xfId="7037" xr:uid="{00000000-0005-0000-0000-00000E1C0000}"/>
    <cellStyle name="Normale 27 7 2" xfId="14765" xr:uid="{00000000-0005-0000-0000-00000F1C0000}"/>
    <cellStyle name="Normale 27 8" xfId="14726" xr:uid="{00000000-0005-0000-0000-0000101C0000}"/>
    <cellStyle name="Normale 28" xfId="7038" xr:uid="{00000000-0005-0000-0000-0000111C0000}"/>
    <cellStyle name="Normale 29" xfId="7039" xr:uid="{00000000-0005-0000-0000-0000121C0000}"/>
    <cellStyle name="Normale 29 2" xfId="7040" xr:uid="{00000000-0005-0000-0000-0000131C0000}"/>
    <cellStyle name="Normale 29 2 2" xfId="7041" xr:uid="{00000000-0005-0000-0000-0000141C0000}"/>
    <cellStyle name="Normale 29 3" xfId="7042" xr:uid="{00000000-0005-0000-0000-0000151C0000}"/>
    <cellStyle name="Normale 29 3 2" xfId="7043" xr:uid="{00000000-0005-0000-0000-0000161C0000}"/>
    <cellStyle name="Normale 29 3 3" xfId="7044" xr:uid="{00000000-0005-0000-0000-0000171C0000}"/>
    <cellStyle name="Normale 29 3_Italy RT - TNC 2012_JUN_V01_C_31052012_check" xfId="7045" xr:uid="{00000000-0005-0000-0000-0000181C0000}"/>
    <cellStyle name="Normale 29_Italy RT - TNC 2012_JUN_V01_C_31052012_check" xfId="7046" xr:uid="{00000000-0005-0000-0000-0000191C0000}"/>
    <cellStyle name="Normale 3" xfId="7047" xr:uid="{00000000-0005-0000-0000-00001A1C0000}"/>
    <cellStyle name="Normale 3 2" xfId="7048" xr:uid="{00000000-0005-0000-0000-00001B1C0000}"/>
    <cellStyle name="Normale 3 2 2" xfId="7049" xr:uid="{00000000-0005-0000-0000-00001C1C0000}"/>
    <cellStyle name="Normale 3 3" xfId="7050" xr:uid="{00000000-0005-0000-0000-00001D1C0000}"/>
    <cellStyle name="Normale 3 3 2" xfId="7051" xr:uid="{00000000-0005-0000-0000-00001E1C0000}"/>
    <cellStyle name="Normale 3 3 2 2" xfId="7052" xr:uid="{00000000-0005-0000-0000-00001F1C0000}"/>
    <cellStyle name="Normale 3 3 2 2 2" xfId="7053" xr:uid="{00000000-0005-0000-0000-0000201C0000}"/>
    <cellStyle name="Normale 3 3 2 2 2 2" xfId="7054" xr:uid="{00000000-0005-0000-0000-0000211C0000}"/>
    <cellStyle name="Normale 3 3 2 2 3" xfId="7055" xr:uid="{00000000-0005-0000-0000-0000221C0000}"/>
    <cellStyle name="Normale 3 3 2 3" xfId="7056" xr:uid="{00000000-0005-0000-0000-0000231C0000}"/>
    <cellStyle name="Normale 3 3 2 3 2" xfId="7057" xr:uid="{00000000-0005-0000-0000-0000241C0000}"/>
    <cellStyle name="Normale 3 3 2 4" xfId="7058" xr:uid="{00000000-0005-0000-0000-0000251C0000}"/>
    <cellStyle name="Normale 3 3 3" xfId="7059" xr:uid="{00000000-0005-0000-0000-0000261C0000}"/>
    <cellStyle name="Normale 3 3 4" xfId="7060" xr:uid="{00000000-0005-0000-0000-0000271C0000}"/>
    <cellStyle name="Normale 3 3 4 2" xfId="7061" xr:uid="{00000000-0005-0000-0000-0000281C0000}"/>
    <cellStyle name="Normale 3 3 4 2 2" xfId="7062" xr:uid="{00000000-0005-0000-0000-0000291C0000}"/>
    <cellStyle name="Normale 3 3 4 3" xfId="7063" xr:uid="{00000000-0005-0000-0000-00002A1C0000}"/>
    <cellStyle name="Normale 3 3 5" xfId="7064" xr:uid="{00000000-0005-0000-0000-00002B1C0000}"/>
    <cellStyle name="Normale 3 3 5 2" xfId="7065" xr:uid="{00000000-0005-0000-0000-00002C1C0000}"/>
    <cellStyle name="Normale 3 3 6" xfId="7066" xr:uid="{00000000-0005-0000-0000-00002D1C0000}"/>
    <cellStyle name="Normale 3 3 6 2" xfId="14747" xr:uid="{00000000-0005-0000-0000-00002E1C0000}"/>
    <cellStyle name="Normale 3 3 7" xfId="7067" xr:uid="{00000000-0005-0000-0000-00002F1C0000}"/>
    <cellStyle name="Normale 3 3 7 2" xfId="14766" xr:uid="{00000000-0005-0000-0000-0000301C0000}"/>
    <cellStyle name="Normale 3 3 8" xfId="14727" xr:uid="{00000000-0005-0000-0000-0000311C0000}"/>
    <cellStyle name="Normale 3 4" xfId="7068" xr:uid="{00000000-0005-0000-0000-0000321C0000}"/>
    <cellStyle name="Normale 3 5" xfId="7069" xr:uid="{00000000-0005-0000-0000-0000331C0000}"/>
    <cellStyle name="Normale 30" xfId="7070" xr:uid="{00000000-0005-0000-0000-0000341C0000}"/>
    <cellStyle name="Normale 30 2" xfId="7071" xr:uid="{00000000-0005-0000-0000-0000351C0000}"/>
    <cellStyle name="Normale 30 2 2" xfId="7072" xr:uid="{00000000-0005-0000-0000-0000361C0000}"/>
    <cellStyle name="Normale 30 2 2 2" xfId="7073" xr:uid="{00000000-0005-0000-0000-0000371C0000}"/>
    <cellStyle name="Normale 30 2 2 2 2" xfId="7074" xr:uid="{00000000-0005-0000-0000-0000381C0000}"/>
    <cellStyle name="Normale 30 2 2 3" xfId="7075" xr:uid="{00000000-0005-0000-0000-0000391C0000}"/>
    <cellStyle name="Normale 30 2 3" xfId="7076" xr:uid="{00000000-0005-0000-0000-00003A1C0000}"/>
    <cellStyle name="Normale 30 2 3 2" xfId="7077" xr:uid="{00000000-0005-0000-0000-00003B1C0000}"/>
    <cellStyle name="Normale 30 2 4" xfId="7078" xr:uid="{00000000-0005-0000-0000-00003C1C0000}"/>
    <cellStyle name="Normale 30 3" xfId="7079" xr:uid="{00000000-0005-0000-0000-00003D1C0000}"/>
    <cellStyle name="Normale 30 4" xfId="7080" xr:uid="{00000000-0005-0000-0000-00003E1C0000}"/>
    <cellStyle name="Normale 30 4 2" xfId="7081" xr:uid="{00000000-0005-0000-0000-00003F1C0000}"/>
    <cellStyle name="Normale 30 4 2 2" xfId="7082" xr:uid="{00000000-0005-0000-0000-0000401C0000}"/>
    <cellStyle name="Normale 30 4 3" xfId="7083" xr:uid="{00000000-0005-0000-0000-0000411C0000}"/>
    <cellStyle name="Normale 30 5" xfId="7084" xr:uid="{00000000-0005-0000-0000-0000421C0000}"/>
    <cellStyle name="Normale 30 5 2" xfId="7085" xr:uid="{00000000-0005-0000-0000-0000431C0000}"/>
    <cellStyle name="Normale 30 6" xfId="7086" xr:uid="{00000000-0005-0000-0000-0000441C0000}"/>
    <cellStyle name="Normale 30 6 2" xfId="14748" xr:uid="{00000000-0005-0000-0000-0000451C0000}"/>
    <cellStyle name="Normale 30 7" xfId="7087" xr:uid="{00000000-0005-0000-0000-0000461C0000}"/>
    <cellStyle name="Normale 30 7 2" xfId="14767" xr:uid="{00000000-0005-0000-0000-0000471C0000}"/>
    <cellStyle name="Normale 30 8" xfId="14728" xr:uid="{00000000-0005-0000-0000-0000481C0000}"/>
    <cellStyle name="Normale 31" xfId="7088" xr:uid="{00000000-0005-0000-0000-0000491C0000}"/>
    <cellStyle name="Normale 31 2" xfId="7089" xr:uid="{00000000-0005-0000-0000-00004A1C0000}"/>
    <cellStyle name="Normale 31 2 2" xfId="7090" xr:uid="{00000000-0005-0000-0000-00004B1C0000}"/>
    <cellStyle name="Normale 31 2 2 2" xfId="7091" xr:uid="{00000000-0005-0000-0000-00004C1C0000}"/>
    <cellStyle name="Normale 31 2 2 2 2" xfId="7092" xr:uid="{00000000-0005-0000-0000-00004D1C0000}"/>
    <cellStyle name="Normale 31 2 2 3" xfId="7093" xr:uid="{00000000-0005-0000-0000-00004E1C0000}"/>
    <cellStyle name="Normale 31 2 3" xfId="7094" xr:uid="{00000000-0005-0000-0000-00004F1C0000}"/>
    <cellStyle name="Normale 31 2 3 2" xfId="7095" xr:uid="{00000000-0005-0000-0000-0000501C0000}"/>
    <cellStyle name="Normale 31 2 4" xfId="7096" xr:uid="{00000000-0005-0000-0000-0000511C0000}"/>
    <cellStyle name="Normale 31 3" xfId="7097" xr:uid="{00000000-0005-0000-0000-0000521C0000}"/>
    <cellStyle name="Normale 31 4" xfId="7098" xr:uid="{00000000-0005-0000-0000-0000531C0000}"/>
    <cellStyle name="Normale 31 4 2" xfId="7099" xr:uid="{00000000-0005-0000-0000-0000541C0000}"/>
    <cellStyle name="Normale 31 4 2 2" xfId="7100" xr:uid="{00000000-0005-0000-0000-0000551C0000}"/>
    <cellStyle name="Normale 31 4 3" xfId="7101" xr:uid="{00000000-0005-0000-0000-0000561C0000}"/>
    <cellStyle name="Normale 31 5" xfId="7102" xr:uid="{00000000-0005-0000-0000-0000571C0000}"/>
    <cellStyle name="Normale 31 5 2" xfId="7103" xr:uid="{00000000-0005-0000-0000-0000581C0000}"/>
    <cellStyle name="Normale 31 6" xfId="7104" xr:uid="{00000000-0005-0000-0000-0000591C0000}"/>
    <cellStyle name="Normale 31 6 2" xfId="14749" xr:uid="{00000000-0005-0000-0000-00005A1C0000}"/>
    <cellStyle name="Normale 31 7" xfId="7105" xr:uid="{00000000-0005-0000-0000-00005B1C0000}"/>
    <cellStyle name="Normale 31 7 2" xfId="14768" xr:uid="{00000000-0005-0000-0000-00005C1C0000}"/>
    <cellStyle name="Normale 31 8" xfId="14729" xr:uid="{00000000-0005-0000-0000-00005D1C0000}"/>
    <cellStyle name="Normale 32" xfId="7106" xr:uid="{00000000-0005-0000-0000-00005E1C0000}"/>
    <cellStyle name="Normale 32 2" xfId="7107" xr:uid="{00000000-0005-0000-0000-00005F1C0000}"/>
    <cellStyle name="Normale 32 2 2" xfId="7108" xr:uid="{00000000-0005-0000-0000-0000601C0000}"/>
    <cellStyle name="Normale 32 2 2 2" xfId="7109" xr:uid="{00000000-0005-0000-0000-0000611C0000}"/>
    <cellStyle name="Normale 32 2 2 2 2" xfId="7110" xr:uid="{00000000-0005-0000-0000-0000621C0000}"/>
    <cellStyle name="Normale 32 2 2 3" xfId="7111" xr:uid="{00000000-0005-0000-0000-0000631C0000}"/>
    <cellStyle name="Normale 32 3" xfId="7112" xr:uid="{00000000-0005-0000-0000-0000641C0000}"/>
    <cellStyle name="Normale 32 4" xfId="7113" xr:uid="{00000000-0005-0000-0000-0000651C0000}"/>
    <cellStyle name="Normale 32 4 2" xfId="7114" xr:uid="{00000000-0005-0000-0000-0000661C0000}"/>
    <cellStyle name="Normale 32 4 2 2" xfId="7115" xr:uid="{00000000-0005-0000-0000-0000671C0000}"/>
    <cellStyle name="Normale 32 4 3" xfId="7116" xr:uid="{00000000-0005-0000-0000-0000681C0000}"/>
    <cellStyle name="Normale 32 5" xfId="7117" xr:uid="{00000000-0005-0000-0000-0000691C0000}"/>
    <cellStyle name="Normale 32 5 2" xfId="7118" xr:uid="{00000000-0005-0000-0000-00006A1C0000}"/>
    <cellStyle name="Normale 32 6" xfId="7119" xr:uid="{00000000-0005-0000-0000-00006B1C0000}"/>
    <cellStyle name="Normale 32 6 2" xfId="14750" xr:uid="{00000000-0005-0000-0000-00006C1C0000}"/>
    <cellStyle name="Normale 32 7" xfId="7120" xr:uid="{00000000-0005-0000-0000-00006D1C0000}"/>
    <cellStyle name="Normale 32 7 2" xfId="14769" xr:uid="{00000000-0005-0000-0000-00006E1C0000}"/>
    <cellStyle name="Normale 32 8" xfId="14730" xr:uid="{00000000-0005-0000-0000-00006F1C0000}"/>
    <cellStyle name="Normale 32_Italy RT - TNC 2012_JUN_V01_C_31052012_check" xfId="7121" xr:uid="{00000000-0005-0000-0000-0000701C0000}"/>
    <cellStyle name="Normale 33" xfId="7122" xr:uid="{00000000-0005-0000-0000-0000711C0000}"/>
    <cellStyle name="Normale 33 2" xfId="7123" xr:uid="{00000000-0005-0000-0000-0000721C0000}"/>
    <cellStyle name="Normale 33 2 2" xfId="7124" xr:uid="{00000000-0005-0000-0000-0000731C0000}"/>
    <cellStyle name="Normale 33 2 2 2" xfId="7125" xr:uid="{00000000-0005-0000-0000-0000741C0000}"/>
    <cellStyle name="Normale 33 2 2 2 2" xfId="7126" xr:uid="{00000000-0005-0000-0000-0000751C0000}"/>
    <cellStyle name="Normale 33 2 2 3" xfId="7127" xr:uid="{00000000-0005-0000-0000-0000761C0000}"/>
    <cellStyle name="Normale 33 2 3" xfId="7128" xr:uid="{00000000-0005-0000-0000-0000771C0000}"/>
    <cellStyle name="Normale 33 2 3 2" xfId="7129" xr:uid="{00000000-0005-0000-0000-0000781C0000}"/>
    <cellStyle name="Normale 33 2 4" xfId="7130" xr:uid="{00000000-0005-0000-0000-0000791C0000}"/>
    <cellStyle name="Normale 33 3" xfId="7131" xr:uid="{00000000-0005-0000-0000-00007A1C0000}"/>
    <cellStyle name="Normale 33 4" xfId="7132" xr:uid="{00000000-0005-0000-0000-00007B1C0000}"/>
    <cellStyle name="Normale 33 4 2" xfId="7133" xr:uid="{00000000-0005-0000-0000-00007C1C0000}"/>
    <cellStyle name="Normale 33 4 2 2" xfId="7134" xr:uid="{00000000-0005-0000-0000-00007D1C0000}"/>
    <cellStyle name="Normale 33 4 3" xfId="7135" xr:uid="{00000000-0005-0000-0000-00007E1C0000}"/>
    <cellStyle name="Normale 33 5" xfId="7136" xr:uid="{00000000-0005-0000-0000-00007F1C0000}"/>
    <cellStyle name="Normale 33 5 2" xfId="7137" xr:uid="{00000000-0005-0000-0000-0000801C0000}"/>
    <cellStyle name="Normale 33 6" xfId="7138" xr:uid="{00000000-0005-0000-0000-0000811C0000}"/>
    <cellStyle name="Normale 33 6 2" xfId="14751" xr:uid="{00000000-0005-0000-0000-0000821C0000}"/>
    <cellStyle name="Normale 33 7" xfId="7139" xr:uid="{00000000-0005-0000-0000-0000831C0000}"/>
    <cellStyle name="Normale 33 7 2" xfId="14770" xr:uid="{00000000-0005-0000-0000-0000841C0000}"/>
    <cellStyle name="Normale 33 8" xfId="14731" xr:uid="{00000000-0005-0000-0000-0000851C0000}"/>
    <cellStyle name="Normale 34" xfId="7140" xr:uid="{00000000-0005-0000-0000-0000861C0000}"/>
    <cellStyle name="Normale 34 2" xfId="7141" xr:uid="{00000000-0005-0000-0000-0000871C0000}"/>
    <cellStyle name="Normale 34 2 2" xfId="7142" xr:uid="{00000000-0005-0000-0000-0000881C0000}"/>
    <cellStyle name="Normale 34 2 2 2" xfId="7143" xr:uid="{00000000-0005-0000-0000-0000891C0000}"/>
    <cellStyle name="Normale 34 2 2 2 2" xfId="7144" xr:uid="{00000000-0005-0000-0000-00008A1C0000}"/>
    <cellStyle name="Normale 34 2 2 3" xfId="7145" xr:uid="{00000000-0005-0000-0000-00008B1C0000}"/>
    <cellStyle name="Normale 34 2 3" xfId="7146" xr:uid="{00000000-0005-0000-0000-00008C1C0000}"/>
    <cellStyle name="Normale 34 2 3 2" xfId="7147" xr:uid="{00000000-0005-0000-0000-00008D1C0000}"/>
    <cellStyle name="Normale 34 2 4" xfId="7148" xr:uid="{00000000-0005-0000-0000-00008E1C0000}"/>
    <cellStyle name="Normale 34 3" xfId="7149" xr:uid="{00000000-0005-0000-0000-00008F1C0000}"/>
    <cellStyle name="Normale 34 4" xfId="7150" xr:uid="{00000000-0005-0000-0000-0000901C0000}"/>
    <cellStyle name="Normale 34 4 2" xfId="7151" xr:uid="{00000000-0005-0000-0000-0000911C0000}"/>
    <cellStyle name="Normale 34 4 2 2" xfId="7152" xr:uid="{00000000-0005-0000-0000-0000921C0000}"/>
    <cellStyle name="Normale 34 4 3" xfId="7153" xr:uid="{00000000-0005-0000-0000-0000931C0000}"/>
    <cellStyle name="Normale 34 5" xfId="7154" xr:uid="{00000000-0005-0000-0000-0000941C0000}"/>
    <cellStyle name="Normale 34 5 2" xfId="7155" xr:uid="{00000000-0005-0000-0000-0000951C0000}"/>
    <cellStyle name="Normale 34 6" xfId="7156" xr:uid="{00000000-0005-0000-0000-0000961C0000}"/>
    <cellStyle name="Normale 34 6 2" xfId="14752" xr:uid="{00000000-0005-0000-0000-0000971C0000}"/>
    <cellStyle name="Normale 34 7" xfId="7157" xr:uid="{00000000-0005-0000-0000-0000981C0000}"/>
    <cellStyle name="Normale 34 7 2" xfId="14771" xr:uid="{00000000-0005-0000-0000-0000991C0000}"/>
    <cellStyle name="Normale 34 8" xfId="14732" xr:uid="{00000000-0005-0000-0000-00009A1C0000}"/>
    <cellStyle name="Normale 35" xfId="7158" xr:uid="{00000000-0005-0000-0000-00009B1C0000}"/>
    <cellStyle name="Normale 35 2" xfId="7159" xr:uid="{00000000-0005-0000-0000-00009C1C0000}"/>
    <cellStyle name="Normale 36" xfId="7160" xr:uid="{00000000-0005-0000-0000-00009D1C0000}"/>
    <cellStyle name="Normale 36 2" xfId="7161" xr:uid="{00000000-0005-0000-0000-00009E1C0000}"/>
    <cellStyle name="Normale 36 2 2" xfId="7162" xr:uid="{00000000-0005-0000-0000-00009F1C0000}"/>
    <cellStyle name="Normale 36 2_Italy RT - TNC 2012_JUN_V01_C_31052012_check" xfId="7163" xr:uid="{00000000-0005-0000-0000-0000A01C0000}"/>
    <cellStyle name="Normale 36_Italy RT - TNC 2012_JUN_V01_C_31052012_check" xfId="7164" xr:uid="{00000000-0005-0000-0000-0000A11C0000}"/>
    <cellStyle name="Normale 37" xfId="7165" xr:uid="{00000000-0005-0000-0000-0000A21C0000}"/>
    <cellStyle name="Normale 38" xfId="7166" xr:uid="{00000000-0005-0000-0000-0000A31C0000}"/>
    <cellStyle name="Normale 39" xfId="7167" xr:uid="{00000000-0005-0000-0000-0000A41C0000}"/>
    <cellStyle name="Normale 4" xfId="7168" xr:uid="{00000000-0005-0000-0000-0000A51C0000}"/>
    <cellStyle name="Normale 4 10" xfId="7169" xr:uid="{00000000-0005-0000-0000-0000A61C0000}"/>
    <cellStyle name="Normale 4 10 2" xfId="14753" xr:uid="{00000000-0005-0000-0000-0000A71C0000}"/>
    <cellStyle name="Normale 4 11" xfId="7170" xr:uid="{00000000-0005-0000-0000-0000A81C0000}"/>
    <cellStyle name="Normale 4 11 2" xfId="14772" xr:uid="{00000000-0005-0000-0000-0000A91C0000}"/>
    <cellStyle name="Normale 4 12" xfId="14733" xr:uid="{00000000-0005-0000-0000-0000AA1C0000}"/>
    <cellStyle name="Normale 4 2" xfId="7171" xr:uid="{00000000-0005-0000-0000-0000AB1C0000}"/>
    <cellStyle name="Normale 4 2 2" xfId="7172" xr:uid="{00000000-0005-0000-0000-0000AC1C0000}"/>
    <cellStyle name="Normale 4 2 2 2" xfId="7173" xr:uid="{00000000-0005-0000-0000-0000AD1C0000}"/>
    <cellStyle name="Normale 4 2 2 2 2" xfId="7174" xr:uid="{00000000-0005-0000-0000-0000AE1C0000}"/>
    <cellStyle name="Normale 4 2 2 2 2 2" xfId="7175" xr:uid="{00000000-0005-0000-0000-0000AF1C0000}"/>
    <cellStyle name="Normale 4 2 2 2 2 2 2" xfId="7176" xr:uid="{00000000-0005-0000-0000-0000B01C0000}"/>
    <cellStyle name="Normale 4 2 2 2 2 3" xfId="7177" xr:uid="{00000000-0005-0000-0000-0000B11C0000}"/>
    <cellStyle name="Normale 4 2 2 3" xfId="7178" xr:uid="{00000000-0005-0000-0000-0000B21C0000}"/>
    <cellStyle name="Normale 4 2 2 4" xfId="7179" xr:uid="{00000000-0005-0000-0000-0000B31C0000}"/>
    <cellStyle name="Normale 4 2 2 5" xfId="7180" xr:uid="{00000000-0005-0000-0000-0000B41C0000}"/>
    <cellStyle name="Normale 4 2 2 5 2" xfId="7181" xr:uid="{00000000-0005-0000-0000-0000B51C0000}"/>
    <cellStyle name="Normale 4 2 2 5 2 2" xfId="7182" xr:uid="{00000000-0005-0000-0000-0000B61C0000}"/>
    <cellStyle name="Normale 4 2 2 5 3" xfId="7183" xr:uid="{00000000-0005-0000-0000-0000B71C0000}"/>
    <cellStyle name="Normale 4 2 2 6" xfId="7184" xr:uid="{00000000-0005-0000-0000-0000B81C0000}"/>
    <cellStyle name="Normale 4 2 2 6 2" xfId="7185" xr:uid="{00000000-0005-0000-0000-0000B91C0000}"/>
    <cellStyle name="Normale 4 2 2 7" xfId="7186" xr:uid="{00000000-0005-0000-0000-0000BA1C0000}"/>
    <cellStyle name="Normale 4 2 2 7 2" xfId="14755" xr:uid="{00000000-0005-0000-0000-0000BB1C0000}"/>
    <cellStyle name="Normale 4 2 2 8" xfId="7187" xr:uid="{00000000-0005-0000-0000-0000BC1C0000}"/>
    <cellStyle name="Normale 4 2 2 8 2" xfId="14774" xr:uid="{00000000-0005-0000-0000-0000BD1C0000}"/>
    <cellStyle name="Normale 4 2 2 9" xfId="14735" xr:uid="{00000000-0005-0000-0000-0000BE1C0000}"/>
    <cellStyle name="Normale 4 2 2_Italy RT - TNC 2012_JUN_V01_C_31052012_check" xfId="7188" xr:uid="{00000000-0005-0000-0000-0000BF1C0000}"/>
    <cellStyle name="Normale 4 2 3" xfId="7189" xr:uid="{00000000-0005-0000-0000-0000C01C0000}"/>
    <cellStyle name="Normale 4 2 3 2" xfId="7190" xr:uid="{00000000-0005-0000-0000-0000C11C0000}"/>
    <cellStyle name="Normale 4 2 3 3" xfId="7191" xr:uid="{00000000-0005-0000-0000-0000C21C0000}"/>
    <cellStyle name="Normale 4 2 3 3 2" xfId="7192" xr:uid="{00000000-0005-0000-0000-0000C31C0000}"/>
    <cellStyle name="Normale 4 2 3 3 2 2" xfId="7193" xr:uid="{00000000-0005-0000-0000-0000C41C0000}"/>
    <cellStyle name="Normale 4 2 3 3 3" xfId="7194" xr:uid="{00000000-0005-0000-0000-0000C51C0000}"/>
    <cellStyle name="Normale 4 2 3_Italy RT - TNC 2012_JUN_V01_C_31052012_check" xfId="7195" xr:uid="{00000000-0005-0000-0000-0000C61C0000}"/>
    <cellStyle name="Normale 4 2 4" xfId="7196" xr:uid="{00000000-0005-0000-0000-0000C71C0000}"/>
    <cellStyle name="Normale 4 2 4 2" xfId="7197" xr:uid="{00000000-0005-0000-0000-0000C81C0000}"/>
    <cellStyle name="Normale 4 2 4_Italy RT - TNC 2012_JUN_V01_C_31052012_check" xfId="7198" xr:uid="{00000000-0005-0000-0000-0000C91C0000}"/>
    <cellStyle name="Normale 4 2 5" xfId="7199" xr:uid="{00000000-0005-0000-0000-0000CA1C0000}"/>
    <cellStyle name="Normale 4 2 5 2" xfId="7200" xr:uid="{00000000-0005-0000-0000-0000CB1C0000}"/>
    <cellStyle name="Normale 4 2 5 2 2" xfId="7201" xr:uid="{00000000-0005-0000-0000-0000CC1C0000}"/>
    <cellStyle name="Normale 4 2 5 3" xfId="7202" xr:uid="{00000000-0005-0000-0000-0000CD1C0000}"/>
    <cellStyle name="Normale 4 2 6" xfId="7203" xr:uid="{00000000-0005-0000-0000-0000CE1C0000}"/>
    <cellStyle name="Normale 4 2 6 2" xfId="7204" xr:uid="{00000000-0005-0000-0000-0000CF1C0000}"/>
    <cellStyle name="Normale 4 2 7" xfId="7205" xr:uid="{00000000-0005-0000-0000-0000D01C0000}"/>
    <cellStyle name="Normale 4 2 7 2" xfId="14754" xr:uid="{00000000-0005-0000-0000-0000D11C0000}"/>
    <cellStyle name="Normale 4 2 8" xfId="7206" xr:uid="{00000000-0005-0000-0000-0000D21C0000}"/>
    <cellStyle name="Normale 4 2 8 2" xfId="14773" xr:uid="{00000000-0005-0000-0000-0000D31C0000}"/>
    <cellStyle name="Normale 4 2 9" xfId="14734" xr:uid="{00000000-0005-0000-0000-0000D41C0000}"/>
    <cellStyle name="Normale 4 2_Additional information tables" xfId="7207" xr:uid="{00000000-0005-0000-0000-0000D51C0000}"/>
    <cellStyle name="Normale 4 3" xfId="7208" xr:uid="{00000000-0005-0000-0000-0000D61C0000}"/>
    <cellStyle name="Normale 4 3 2" xfId="7209" xr:uid="{00000000-0005-0000-0000-0000D71C0000}"/>
    <cellStyle name="Normale 4 3 2 2" xfId="7210" xr:uid="{00000000-0005-0000-0000-0000D81C0000}"/>
    <cellStyle name="Normale 4 3 2 2 2" xfId="7211" xr:uid="{00000000-0005-0000-0000-0000D91C0000}"/>
    <cellStyle name="Normale 4 3 2 2 2 2" xfId="7212" xr:uid="{00000000-0005-0000-0000-0000DA1C0000}"/>
    <cellStyle name="Normale 4 3 2 2 3" xfId="7213" xr:uid="{00000000-0005-0000-0000-0000DB1C0000}"/>
    <cellStyle name="Normale 4 3 2 3" xfId="7214" xr:uid="{00000000-0005-0000-0000-0000DC1C0000}"/>
    <cellStyle name="Normale 4 3 2 3 2" xfId="7215" xr:uid="{00000000-0005-0000-0000-0000DD1C0000}"/>
    <cellStyle name="Normale 4 3 2 4" xfId="7216" xr:uid="{00000000-0005-0000-0000-0000DE1C0000}"/>
    <cellStyle name="Normale 4 3 3" xfId="7217" xr:uid="{00000000-0005-0000-0000-0000DF1C0000}"/>
    <cellStyle name="Normale 4 3 4" xfId="7218" xr:uid="{00000000-0005-0000-0000-0000E01C0000}"/>
    <cellStyle name="Normale 4 3 4 2" xfId="7219" xr:uid="{00000000-0005-0000-0000-0000E11C0000}"/>
    <cellStyle name="Normale 4 3 4 2 2" xfId="7220" xr:uid="{00000000-0005-0000-0000-0000E21C0000}"/>
    <cellStyle name="Normale 4 3 4 3" xfId="7221" xr:uid="{00000000-0005-0000-0000-0000E31C0000}"/>
    <cellStyle name="Normale 4 3 5" xfId="7222" xr:uid="{00000000-0005-0000-0000-0000E41C0000}"/>
    <cellStyle name="Normale 4 3 5 2" xfId="7223" xr:uid="{00000000-0005-0000-0000-0000E51C0000}"/>
    <cellStyle name="Normale 4 3 6" xfId="7224" xr:uid="{00000000-0005-0000-0000-0000E61C0000}"/>
    <cellStyle name="Normale 4 3 6 2" xfId="14756" xr:uid="{00000000-0005-0000-0000-0000E71C0000}"/>
    <cellStyle name="Normale 4 3 7" xfId="7225" xr:uid="{00000000-0005-0000-0000-0000E81C0000}"/>
    <cellStyle name="Normale 4 3 7 2" xfId="14775" xr:uid="{00000000-0005-0000-0000-0000E91C0000}"/>
    <cellStyle name="Normale 4 3 8" xfId="14736" xr:uid="{00000000-0005-0000-0000-0000EA1C0000}"/>
    <cellStyle name="Normale 4 4" xfId="7226" xr:uid="{00000000-0005-0000-0000-0000EB1C0000}"/>
    <cellStyle name="Normale 4 4 2" xfId="7227" xr:uid="{00000000-0005-0000-0000-0000EC1C0000}"/>
    <cellStyle name="Normale 4 4 2 2" xfId="7228" xr:uid="{00000000-0005-0000-0000-0000ED1C0000}"/>
    <cellStyle name="Normale 4 4 2 2 2" xfId="7229" xr:uid="{00000000-0005-0000-0000-0000EE1C0000}"/>
    <cellStyle name="Normale 4 4 2 2 2 2" xfId="7230" xr:uid="{00000000-0005-0000-0000-0000EF1C0000}"/>
    <cellStyle name="Normale 4 4 2 2 3" xfId="7231" xr:uid="{00000000-0005-0000-0000-0000F01C0000}"/>
    <cellStyle name="Normale 4 4 2 3" xfId="7232" xr:uid="{00000000-0005-0000-0000-0000F11C0000}"/>
    <cellStyle name="Normale 4 4 2 3 2" xfId="7233" xr:uid="{00000000-0005-0000-0000-0000F21C0000}"/>
    <cellStyle name="Normale 4 4 2 4" xfId="7234" xr:uid="{00000000-0005-0000-0000-0000F31C0000}"/>
    <cellStyle name="Normale 4 4 3" xfId="7235" xr:uid="{00000000-0005-0000-0000-0000F41C0000}"/>
    <cellStyle name="Normale 4 4 4" xfId="7236" xr:uid="{00000000-0005-0000-0000-0000F51C0000}"/>
    <cellStyle name="Normale 4 4 4 2" xfId="7237" xr:uid="{00000000-0005-0000-0000-0000F61C0000}"/>
    <cellStyle name="Normale 4 4 4 2 2" xfId="7238" xr:uid="{00000000-0005-0000-0000-0000F71C0000}"/>
    <cellStyle name="Normale 4 4 4 3" xfId="7239" xr:uid="{00000000-0005-0000-0000-0000F81C0000}"/>
    <cellStyle name="Normale 4 4 5" xfId="7240" xr:uid="{00000000-0005-0000-0000-0000F91C0000}"/>
    <cellStyle name="Normale 4 4 5 2" xfId="7241" xr:uid="{00000000-0005-0000-0000-0000FA1C0000}"/>
    <cellStyle name="Normale 4 4 6" xfId="7242" xr:uid="{00000000-0005-0000-0000-0000FB1C0000}"/>
    <cellStyle name="Normale 4 4 6 2" xfId="14757" xr:uid="{00000000-0005-0000-0000-0000FC1C0000}"/>
    <cellStyle name="Normale 4 4 7" xfId="7243" xr:uid="{00000000-0005-0000-0000-0000FD1C0000}"/>
    <cellStyle name="Normale 4 4 7 2" xfId="14776" xr:uid="{00000000-0005-0000-0000-0000FE1C0000}"/>
    <cellStyle name="Normale 4 4 8" xfId="14737" xr:uid="{00000000-0005-0000-0000-0000FF1C0000}"/>
    <cellStyle name="Normale 4 5" xfId="7244" xr:uid="{00000000-0005-0000-0000-0000001D0000}"/>
    <cellStyle name="Normale 4 5 2" xfId="7245" xr:uid="{00000000-0005-0000-0000-0000011D0000}"/>
    <cellStyle name="Normale 4 5 2 2" xfId="7246" xr:uid="{00000000-0005-0000-0000-0000021D0000}"/>
    <cellStyle name="Normale 4 5 2 2 2" xfId="7247" xr:uid="{00000000-0005-0000-0000-0000031D0000}"/>
    <cellStyle name="Normale 4 5 2 2 2 2" xfId="7248" xr:uid="{00000000-0005-0000-0000-0000041D0000}"/>
    <cellStyle name="Normale 4 5 2 2 3" xfId="7249" xr:uid="{00000000-0005-0000-0000-0000051D0000}"/>
    <cellStyle name="Normale 4 5 2 3" xfId="7250" xr:uid="{00000000-0005-0000-0000-0000061D0000}"/>
    <cellStyle name="Normale 4 5 2 3 2" xfId="7251" xr:uid="{00000000-0005-0000-0000-0000071D0000}"/>
    <cellStyle name="Normale 4 5 2 4" xfId="7252" xr:uid="{00000000-0005-0000-0000-0000081D0000}"/>
    <cellStyle name="Normale 4 5 3" xfId="7253" xr:uid="{00000000-0005-0000-0000-0000091D0000}"/>
    <cellStyle name="Normale 4 5 4" xfId="7254" xr:uid="{00000000-0005-0000-0000-00000A1D0000}"/>
    <cellStyle name="Normale 4 5 4 2" xfId="7255" xr:uid="{00000000-0005-0000-0000-00000B1D0000}"/>
    <cellStyle name="Normale 4 5 4 2 2" xfId="7256" xr:uid="{00000000-0005-0000-0000-00000C1D0000}"/>
    <cellStyle name="Normale 4 5 4 3" xfId="7257" xr:uid="{00000000-0005-0000-0000-00000D1D0000}"/>
    <cellStyle name="Normale 4 5 5" xfId="7258" xr:uid="{00000000-0005-0000-0000-00000E1D0000}"/>
    <cellStyle name="Normale 4 5 5 2" xfId="7259" xr:uid="{00000000-0005-0000-0000-00000F1D0000}"/>
    <cellStyle name="Normale 4 5 6" xfId="7260" xr:uid="{00000000-0005-0000-0000-0000101D0000}"/>
    <cellStyle name="Normale 4 5 6 2" xfId="14758" xr:uid="{00000000-0005-0000-0000-0000111D0000}"/>
    <cellStyle name="Normale 4 5 7" xfId="7261" xr:uid="{00000000-0005-0000-0000-0000121D0000}"/>
    <cellStyle name="Normale 4 5 7 2" xfId="14777" xr:uid="{00000000-0005-0000-0000-0000131D0000}"/>
    <cellStyle name="Normale 4 5 8" xfId="14738" xr:uid="{00000000-0005-0000-0000-0000141D0000}"/>
    <cellStyle name="Normale 4 6" xfId="7262" xr:uid="{00000000-0005-0000-0000-0000151D0000}"/>
    <cellStyle name="Normale 4 6 2" xfId="7263" xr:uid="{00000000-0005-0000-0000-0000161D0000}"/>
    <cellStyle name="Normale 4 6 2 2" xfId="7264" xr:uid="{00000000-0005-0000-0000-0000171D0000}"/>
    <cellStyle name="Normale 4 6 2 2 2" xfId="7265" xr:uid="{00000000-0005-0000-0000-0000181D0000}"/>
    <cellStyle name="Normale 4 6 2 3" xfId="7266" xr:uid="{00000000-0005-0000-0000-0000191D0000}"/>
    <cellStyle name="Normale 4 7" xfId="7267" xr:uid="{00000000-0005-0000-0000-00001A1D0000}"/>
    <cellStyle name="Normale 4 8" xfId="7268" xr:uid="{00000000-0005-0000-0000-00001B1D0000}"/>
    <cellStyle name="Normale 4 8 2" xfId="7269" xr:uid="{00000000-0005-0000-0000-00001C1D0000}"/>
    <cellStyle name="Normale 4 8 2 2" xfId="7270" xr:uid="{00000000-0005-0000-0000-00001D1D0000}"/>
    <cellStyle name="Normale 4 8 3" xfId="7271" xr:uid="{00000000-0005-0000-0000-00001E1D0000}"/>
    <cellStyle name="Normale 4 9" xfId="7272" xr:uid="{00000000-0005-0000-0000-00001F1D0000}"/>
    <cellStyle name="Normale 4 9 2" xfId="7273" xr:uid="{00000000-0005-0000-0000-0000201D0000}"/>
    <cellStyle name="Normale 4_Additional information tables" xfId="7274" xr:uid="{00000000-0005-0000-0000-0000211D0000}"/>
    <cellStyle name="Normale 40" xfId="7275" xr:uid="{00000000-0005-0000-0000-0000221D0000}"/>
    <cellStyle name="Normale 41" xfId="7276" xr:uid="{00000000-0005-0000-0000-0000231D0000}"/>
    <cellStyle name="Normale 42" xfId="7277" xr:uid="{00000000-0005-0000-0000-0000241D0000}"/>
    <cellStyle name="Normale 43" xfId="7278" xr:uid="{00000000-0005-0000-0000-0000251D0000}"/>
    <cellStyle name="Normale 44" xfId="7279" xr:uid="{00000000-0005-0000-0000-0000261D0000}"/>
    <cellStyle name="Normale 5" xfId="7280" xr:uid="{00000000-0005-0000-0000-0000271D0000}"/>
    <cellStyle name="Normale 5 2" xfId="7281" xr:uid="{00000000-0005-0000-0000-0000281D0000}"/>
    <cellStyle name="Normale 5 2 2" xfId="7282" xr:uid="{00000000-0005-0000-0000-0000291D0000}"/>
    <cellStyle name="Normale 5 2 2 2" xfId="7283" xr:uid="{00000000-0005-0000-0000-00002A1D0000}"/>
    <cellStyle name="Normale 5 2 2 2 2" xfId="7284" xr:uid="{00000000-0005-0000-0000-00002B1D0000}"/>
    <cellStyle name="Normale 5 2 2 3" xfId="7285" xr:uid="{00000000-0005-0000-0000-00002C1D0000}"/>
    <cellStyle name="Normale 5 2 3" xfId="7286" xr:uid="{00000000-0005-0000-0000-00002D1D0000}"/>
    <cellStyle name="Normale 5 2 3 2" xfId="7287" xr:uid="{00000000-0005-0000-0000-00002E1D0000}"/>
    <cellStyle name="Normale 5 2 4" xfId="7288" xr:uid="{00000000-0005-0000-0000-00002F1D0000}"/>
    <cellStyle name="Normale 5 3" xfId="7289" xr:uid="{00000000-0005-0000-0000-0000301D0000}"/>
    <cellStyle name="Normale 5 4" xfId="7290" xr:uid="{00000000-0005-0000-0000-0000311D0000}"/>
    <cellStyle name="Normale 5 4 2" xfId="7291" xr:uid="{00000000-0005-0000-0000-0000321D0000}"/>
    <cellStyle name="Normale 5 4 2 2" xfId="7292" xr:uid="{00000000-0005-0000-0000-0000331D0000}"/>
    <cellStyle name="Normale 5 4 3" xfId="7293" xr:uid="{00000000-0005-0000-0000-0000341D0000}"/>
    <cellStyle name="Normale 5 5" xfId="7294" xr:uid="{00000000-0005-0000-0000-0000351D0000}"/>
    <cellStyle name="Normale 5 5 2" xfId="7295" xr:uid="{00000000-0005-0000-0000-0000361D0000}"/>
    <cellStyle name="Normale 5 6" xfId="7296" xr:uid="{00000000-0005-0000-0000-0000371D0000}"/>
    <cellStyle name="Normale 5 6 2" xfId="14759" xr:uid="{00000000-0005-0000-0000-0000381D0000}"/>
    <cellStyle name="Normale 5 7" xfId="7297" xr:uid="{00000000-0005-0000-0000-0000391D0000}"/>
    <cellStyle name="Normale 5 7 2" xfId="14778" xr:uid="{00000000-0005-0000-0000-00003A1D0000}"/>
    <cellStyle name="Normale 5 8" xfId="14739" xr:uid="{00000000-0005-0000-0000-00003B1D0000}"/>
    <cellStyle name="Normale 6" xfId="7298" xr:uid="{00000000-0005-0000-0000-00003C1D0000}"/>
    <cellStyle name="Normale 6 2" xfId="7299" xr:uid="{00000000-0005-0000-0000-00003D1D0000}"/>
    <cellStyle name="Normale 6 2 2" xfId="7300" xr:uid="{00000000-0005-0000-0000-00003E1D0000}"/>
    <cellStyle name="Normale 6 3" xfId="7301" xr:uid="{00000000-0005-0000-0000-00003F1D0000}"/>
    <cellStyle name="Normale 6 3 2" xfId="7302" xr:uid="{00000000-0005-0000-0000-0000401D0000}"/>
    <cellStyle name="Normale 6 3 2 2" xfId="7303" xr:uid="{00000000-0005-0000-0000-0000411D0000}"/>
    <cellStyle name="Normale 6 3 2 2 2" xfId="7304" xr:uid="{00000000-0005-0000-0000-0000421D0000}"/>
    <cellStyle name="Normale 6 3 2 3" xfId="7305" xr:uid="{00000000-0005-0000-0000-0000431D0000}"/>
    <cellStyle name="Normale 6 3 3" xfId="7306" xr:uid="{00000000-0005-0000-0000-0000441D0000}"/>
    <cellStyle name="Normale 6 3 3 2" xfId="7307" xr:uid="{00000000-0005-0000-0000-0000451D0000}"/>
    <cellStyle name="Normale 6 3 4" xfId="7308" xr:uid="{00000000-0005-0000-0000-0000461D0000}"/>
    <cellStyle name="Normale 6 4" xfId="7309" xr:uid="{00000000-0005-0000-0000-0000471D0000}"/>
    <cellStyle name="Normale 6 5" xfId="7310" xr:uid="{00000000-0005-0000-0000-0000481D0000}"/>
    <cellStyle name="Normale 6 5 2" xfId="7311" xr:uid="{00000000-0005-0000-0000-0000491D0000}"/>
    <cellStyle name="Normale 6 5 2 2" xfId="7312" xr:uid="{00000000-0005-0000-0000-00004A1D0000}"/>
    <cellStyle name="Normale 6 5 3" xfId="7313" xr:uid="{00000000-0005-0000-0000-00004B1D0000}"/>
    <cellStyle name="Normale 6 6" xfId="7314" xr:uid="{00000000-0005-0000-0000-00004C1D0000}"/>
    <cellStyle name="Normale 6 6 2" xfId="7315" xr:uid="{00000000-0005-0000-0000-00004D1D0000}"/>
    <cellStyle name="Normale 6 7" xfId="7316" xr:uid="{00000000-0005-0000-0000-00004E1D0000}"/>
    <cellStyle name="Normale 6 7 2" xfId="14760" xr:uid="{00000000-0005-0000-0000-00004F1D0000}"/>
    <cellStyle name="Normale 6 8" xfId="7317" xr:uid="{00000000-0005-0000-0000-0000501D0000}"/>
    <cellStyle name="Normale 6 8 2" xfId="14779" xr:uid="{00000000-0005-0000-0000-0000511D0000}"/>
    <cellStyle name="Normale 6 9" xfId="14740" xr:uid="{00000000-0005-0000-0000-0000521D0000}"/>
    <cellStyle name="Normale 6_Additional information tables" xfId="7318" xr:uid="{00000000-0005-0000-0000-0000531D0000}"/>
    <cellStyle name="Normale 7" xfId="7319" xr:uid="{00000000-0005-0000-0000-0000541D0000}"/>
    <cellStyle name="Normale 7 2" xfId="7320" xr:uid="{00000000-0005-0000-0000-0000551D0000}"/>
    <cellStyle name="Normale 8" xfId="7321" xr:uid="{00000000-0005-0000-0000-0000561D0000}"/>
    <cellStyle name="Normale 8 2" xfId="7322" xr:uid="{00000000-0005-0000-0000-0000571D0000}"/>
    <cellStyle name="Normale 8 2 2" xfId="7323" xr:uid="{00000000-0005-0000-0000-0000581D0000}"/>
    <cellStyle name="Normale 8 3" xfId="7324" xr:uid="{00000000-0005-0000-0000-0000591D0000}"/>
    <cellStyle name="Normale 8 3 2" xfId="7325" xr:uid="{00000000-0005-0000-0000-00005A1D0000}"/>
    <cellStyle name="Normale 8 4" xfId="7326" xr:uid="{00000000-0005-0000-0000-00005B1D0000}"/>
    <cellStyle name="Normale 9" xfId="7327" xr:uid="{00000000-0005-0000-0000-00005C1D0000}"/>
    <cellStyle name="Normale 9 2" xfId="7328" xr:uid="{00000000-0005-0000-0000-00005D1D0000}"/>
    <cellStyle name="Normale 9 2 2" xfId="7329" xr:uid="{00000000-0005-0000-0000-00005E1D0000}"/>
    <cellStyle name="Normale 9 3" xfId="7330" xr:uid="{00000000-0005-0000-0000-00005F1D0000}"/>
    <cellStyle name="Normale 9 3 2" xfId="7331" xr:uid="{00000000-0005-0000-0000-0000601D0000}"/>
    <cellStyle name="Normale 9 4" xfId="7332" xr:uid="{00000000-0005-0000-0000-0000611D0000}"/>
    <cellStyle name="Normale_Calcolo Tariffa_2006_4T_v01" xfId="7333" xr:uid="{00000000-0005-0000-0000-0000621D0000}"/>
    <cellStyle name="NormalExtra" xfId="7334" xr:uid="{00000000-0005-0000-0000-0000631D0000}"/>
    <cellStyle name="Normálna 2" xfId="7335" xr:uid="{00000000-0005-0000-0000-0000641D0000}"/>
    <cellStyle name="Normálna 3" xfId="7336" xr:uid="{00000000-0005-0000-0000-0000651D0000}"/>
    <cellStyle name="Normalny 10" xfId="7337" xr:uid="{00000000-0005-0000-0000-0000661D0000}"/>
    <cellStyle name="Normalny 2" xfId="7338" xr:uid="{00000000-0005-0000-0000-0000671D0000}"/>
    <cellStyle name="Normalny 2 2" xfId="7339" xr:uid="{00000000-0005-0000-0000-0000681D0000}"/>
    <cellStyle name="Normalny 2_MET Table 1" xfId="7340" xr:uid="{00000000-0005-0000-0000-0000691D0000}"/>
    <cellStyle name="Normalny 3" xfId="7341" xr:uid="{00000000-0005-0000-0000-00006A1D0000}"/>
    <cellStyle name="Normalny 4" xfId="7342" xr:uid="{00000000-0005-0000-0000-00006B1D0000}"/>
    <cellStyle name="Normalny 4 2" xfId="7343" xr:uid="{00000000-0005-0000-0000-00006C1D0000}"/>
    <cellStyle name="Normalny 5" xfId="7344" xr:uid="{00000000-0005-0000-0000-00006D1D0000}"/>
    <cellStyle name="Normalny 6" xfId="7345" xr:uid="{00000000-0005-0000-0000-00006E1D0000}"/>
    <cellStyle name="Normalny 7" xfId="7346" xr:uid="{00000000-0005-0000-0000-00006F1D0000}"/>
    <cellStyle name="Normalny 8" xfId="7347" xr:uid="{00000000-0005-0000-0000-0000701D0000}"/>
    <cellStyle name="Normalny 9" xfId="7348" xr:uid="{00000000-0005-0000-0000-0000711D0000}"/>
    <cellStyle name="Normaali 2" xfId="6412" xr:uid="{00000000-0005-0000-0000-000064190000}"/>
    <cellStyle name="Normaali 2 2" xfId="6413" xr:uid="{00000000-0005-0000-0000-000065190000}"/>
    <cellStyle name="Normaali 2 2 2" xfId="6414" xr:uid="{00000000-0005-0000-0000-000066190000}"/>
    <cellStyle name="Normaali 2 3" xfId="6415" xr:uid="{00000000-0005-0000-0000-000067190000}"/>
    <cellStyle name="Normaali_Layo9704" xfId="6416" xr:uid="{00000000-0005-0000-0000-000068190000}"/>
    <cellStyle name="NorTms8" xfId="7349" xr:uid="{00000000-0005-0000-0000-0000721D0000}"/>
    <cellStyle name="Nota 10" xfId="7350" xr:uid="{00000000-0005-0000-0000-0000731D0000}"/>
    <cellStyle name="Nota 10 2" xfId="7351" xr:uid="{00000000-0005-0000-0000-0000741D0000}"/>
    <cellStyle name="Nota 10 2 2" xfId="7352" xr:uid="{00000000-0005-0000-0000-0000751D0000}"/>
    <cellStyle name="Nota 10 2 3" xfId="7353" xr:uid="{00000000-0005-0000-0000-0000761D0000}"/>
    <cellStyle name="Nota 10 2 4" xfId="7354" xr:uid="{00000000-0005-0000-0000-0000771D0000}"/>
    <cellStyle name="Nota 10 2 5" xfId="7355" xr:uid="{00000000-0005-0000-0000-0000781D0000}"/>
    <cellStyle name="Nota 10 3" xfId="7356" xr:uid="{00000000-0005-0000-0000-0000791D0000}"/>
    <cellStyle name="Nota 10 4" xfId="7357" xr:uid="{00000000-0005-0000-0000-00007A1D0000}"/>
    <cellStyle name="Nota 10 5" xfId="7358" xr:uid="{00000000-0005-0000-0000-00007B1D0000}"/>
    <cellStyle name="Nota 10 6" xfId="7359" xr:uid="{00000000-0005-0000-0000-00007C1D0000}"/>
    <cellStyle name="Nota 11" xfId="7360" xr:uid="{00000000-0005-0000-0000-00007D1D0000}"/>
    <cellStyle name="Nota 11 2" xfId="7361" xr:uid="{00000000-0005-0000-0000-00007E1D0000}"/>
    <cellStyle name="Nota 11 2 2" xfId="7362" xr:uid="{00000000-0005-0000-0000-00007F1D0000}"/>
    <cellStyle name="Nota 11 2 3" xfId="7363" xr:uid="{00000000-0005-0000-0000-0000801D0000}"/>
    <cellStyle name="Nota 11 2 4" xfId="7364" xr:uid="{00000000-0005-0000-0000-0000811D0000}"/>
    <cellStyle name="Nota 11 2 5" xfId="7365" xr:uid="{00000000-0005-0000-0000-0000821D0000}"/>
    <cellStyle name="Nota 11 3" xfId="7366" xr:uid="{00000000-0005-0000-0000-0000831D0000}"/>
    <cellStyle name="Nota 11 4" xfId="7367" xr:uid="{00000000-0005-0000-0000-0000841D0000}"/>
    <cellStyle name="Nota 11 5" xfId="7368" xr:uid="{00000000-0005-0000-0000-0000851D0000}"/>
    <cellStyle name="Nota 11 6" xfId="7369" xr:uid="{00000000-0005-0000-0000-0000861D0000}"/>
    <cellStyle name="Nota 12" xfId="7370" xr:uid="{00000000-0005-0000-0000-0000871D0000}"/>
    <cellStyle name="Nota 12 2" xfId="7371" xr:uid="{00000000-0005-0000-0000-0000881D0000}"/>
    <cellStyle name="Nota 12 2 2" xfId="7372" xr:uid="{00000000-0005-0000-0000-0000891D0000}"/>
    <cellStyle name="Nota 12 2 3" xfId="7373" xr:uid="{00000000-0005-0000-0000-00008A1D0000}"/>
    <cellStyle name="Nota 12 2 4" xfId="7374" xr:uid="{00000000-0005-0000-0000-00008B1D0000}"/>
    <cellStyle name="Nota 12 2 5" xfId="7375" xr:uid="{00000000-0005-0000-0000-00008C1D0000}"/>
    <cellStyle name="Nota 12 3" xfId="7376" xr:uid="{00000000-0005-0000-0000-00008D1D0000}"/>
    <cellStyle name="Nota 12 4" xfId="7377" xr:uid="{00000000-0005-0000-0000-00008E1D0000}"/>
    <cellStyle name="Nota 12 5" xfId="7378" xr:uid="{00000000-0005-0000-0000-00008F1D0000}"/>
    <cellStyle name="Nota 12 6" xfId="7379" xr:uid="{00000000-0005-0000-0000-0000901D0000}"/>
    <cellStyle name="Nota 13" xfId="7380" xr:uid="{00000000-0005-0000-0000-0000911D0000}"/>
    <cellStyle name="Nota 13 2" xfId="7381" xr:uid="{00000000-0005-0000-0000-0000921D0000}"/>
    <cellStyle name="Nota 13 2 2" xfId="7382" xr:uid="{00000000-0005-0000-0000-0000931D0000}"/>
    <cellStyle name="Nota 13 2 3" xfId="7383" xr:uid="{00000000-0005-0000-0000-0000941D0000}"/>
    <cellStyle name="Nota 13 2 4" xfId="7384" xr:uid="{00000000-0005-0000-0000-0000951D0000}"/>
    <cellStyle name="Nota 13 2 5" xfId="7385" xr:uid="{00000000-0005-0000-0000-0000961D0000}"/>
    <cellStyle name="Nota 13 3" xfId="7386" xr:uid="{00000000-0005-0000-0000-0000971D0000}"/>
    <cellStyle name="Nota 13 4" xfId="7387" xr:uid="{00000000-0005-0000-0000-0000981D0000}"/>
    <cellStyle name="Nota 13 5" xfId="7388" xr:uid="{00000000-0005-0000-0000-0000991D0000}"/>
    <cellStyle name="Nota 13 6" xfId="7389" xr:uid="{00000000-0005-0000-0000-00009A1D0000}"/>
    <cellStyle name="Nota 14" xfId="7390" xr:uid="{00000000-0005-0000-0000-00009B1D0000}"/>
    <cellStyle name="Nota 14 2" xfId="7391" xr:uid="{00000000-0005-0000-0000-00009C1D0000}"/>
    <cellStyle name="Nota 14 2 2" xfId="7392" xr:uid="{00000000-0005-0000-0000-00009D1D0000}"/>
    <cellStyle name="Nota 14 2 3" xfId="7393" xr:uid="{00000000-0005-0000-0000-00009E1D0000}"/>
    <cellStyle name="Nota 14 2 4" xfId="7394" xr:uid="{00000000-0005-0000-0000-00009F1D0000}"/>
    <cellStyle name="Nota 14 2 5" xfId="7395" xr:uid="{00000000-0005-0000-0000-0000A01D0000}"/>
    <cellStyle name="Nota 14 3" xfId="7396" xr:uid="{00000000-0005-0000-0000-0000A11D0000}"/>
    <cellStyle name="Nota 14 4" xfId="7397" xr:uid="{00000000-0005-0000-0000-0000A21D0000}"/>
    <cellStyle name="Nota 14 5" xfId="7398" xr:uid="{00000000-0005-0000-0000-0000A31D0000}"/>
    <cellStyle name="Nota 14 6" xfId="7399" xr:uid="{00000000-0005-0000-0000-0000A41D0000}"/>
    <cellStyle name="Nota 15" xfId="7400" xr:uid="{00000000-0005-0000-0000-0000A51D0000}"/>
    <cellStyle name="Nota 15 2" xfId="7401" xr:uid="{00000000-0005-0000-0000-0000A61D0000}"/>
    <cellStyle name="Nota 15 2 2" xfId="7402" xr:uid="{00000000-0005-0000-0000-0000A71D0000}"/>
    <cellStyle name="Nota 15 2 3" xfId="7403" xr:uid="{00000000-0005-0000-0000-0000A81D0000}"/>
    <cellStyle name="Nota 15 2 4" xfId="7404" xr:uid="{00000000-0005-0000-0000-0000A91D0000}"/>
    <cellStyle name="Nota 15 2 5" xfId="7405" xr:uid="{00000000-0005-0000-0000-0000AA1D0000}"/>
    <cellStyle name="Nota 15 3" xfId="7406" xr:uid="{00000000-0005-0000-0000-0000AB1D0000}"/>
    <cellStyle name="Nota 15 4" xfId="7407" xr:uid="{00000000-0005-0000-0000-0000AC1D0000}"/>
    <cellStyle name="Nota 15 5" xfId="7408" xr:uid="{00000000-0005-0000-0000-0000AD1D0000}"/>
    <cellStyle name="Nota 15 6" xfId="7409" xr:uid="{00000000-0005-0000-0000-0000AE1D0000}"/>
    <cellStyle name="Nota 16" xfId="7410" xr:uid="{00000000-0005-0000-0000-0000AF1D0000}"/>
    <cellStyle name="Nota 16 2" xfId="7411" xr:uid="{00000000-0005-0000-0000-0000B01D0000}"/>
    <cellStyle name="Nota 16 2 2" xfId="7412" xr:uid="{00000000-0005-0000-0000-0000B11D0000}"/>
    <cellStyle name="Nota 16 2 3" xfId="7413" xr:uid="{00000000-0005-0000-0000-0000B21D0000}"/>
    <cellStyle name="Nota 16 2 4" xfId="7414" xr:uid="{00000000-0005-0000-0000-0000B31D0000}"/>
    <cellStyle name="Nota 16 2 5" xfId="7415" xr:uid="{00000000-0005-0000-0000-0000B41D0000}"/>
    <cellStyle name="Nota 16 3" xfId="7416" xr:uid="{00000000-0005-0000-0000-0000B51D0000}"/>
    <cellStyle name="Nota 16 4" xfId="7417" xr:uid="{00000000-0005-0000-0000-0000B61D0000}"/>
    <cellStyle name="Nota 16 5" xfId="7418" xr:uid="{00000000-0005-0000-0000-0000B71D0000}"/>
    <cellStyle name="Nota 16 6" xfId="7419" xr:uid="{00000000-0005-0000-0000-0000B81D0000}"/>
    <cellStyle name="Nota 17" xfId="7420" xr:uid="{00000000-0005-0000-0000-0000B91D0000}"/>
    <cellStyle name="Nota 17 2" xfId="7421" xr:uid="{00000000-0005-0000-0000-0000BA1D0000}"/>
    <cellStyle name="Nota 17 3" xfId="7422" xr:uid="{00000000-0005-0000-0000-0000BB1D0000}"/>
    <cellStyle name="Nota 17 4" xfId="7423" xr:uid="{00000000-0005-0000-0000-0000BC1D0000}"/>
    <cellStyle name="Nota 17 5" xfId="7424" xr:uid="{00000000-0005-0000-0000-0000BD1D0000}"/>
    <cellStyle name="Nota 18" xfId="7425" xr:uid="{00000000-0005-0000-0000-0000BE1D0000}"/>
    <cellStyle name="Nota 18 2" xfId="7426" xr:uid="{00000000-0005-0000-0000-0000BF1D0000}"/>
    <cellStyle name="Nota 18 3" xfId="7427" xr:uid="{00000000-0005-0000-0000-0000C01D0000}"/>
    <cellStyle name="Nota 18 4" xfId="7428" xr:uid="{00000000-0005-0000-0000-0000C11D0000}"/>
    <cellStyle name="Nota 18 5" xfId="7429" xr:uid="{00000000-0005-0000-0000-0000C21D0000}"/>
    <cellStyle name="Nota 2" xfId="7430" xr:uid="{00000000-0005-0000-0000-0000C31D0000}"/>
    <cellStyle name="Nota 2 2" xfId="7431" xr:uid="{00000000-0005-0000-0000-0000C41D0000}"/>
    <cellStyle name="Nota 2 2 2" xfId="7432" xr:uid="{00000000-0005-0000-0000-0000C51D0000}"/>
    <cellStyle name="Nota 2 2 3" xfId="7433" xr:uid="{00000000-0005-0000-0000-0000C61D0000}"/>
    <cellStyle name="Nota 2 2 4" xfId="7434" xr:uid="{00000000-0005-0000-0000-0000C71D0000}"/>
    <cellStyle name="Nota 2 2 5" xfId="7435" xr:uid="{00000000-0005-0000-0000-0000C81D0000}"/>
    <cellStyle name="Nota 2 3" xfId="7436" xr:uid="{00000000-0005-0000-0000-0000C91D0000}"/>
    <cellStyle name="Nota 2 4" xfId="7437" xr:uid="{00000000-0005-0000-0000-0000CA1D0000}"/>
    <cellStyle name="Nota 2 5" xfId="7438" xr:uid="{00000000-0005-0000-0000-0000CB1D0000}"/>
    <cellStyle name="Nota 2 6" xfId="7439" xr:uid="{00000000-0005-0000-0000-0000CC1D0000}"/>
    <cellStyle name="Nota 3" xfId="7440" xr:uid="{00000000-0005-0000-0000-0000CD1D0000}"/>
    <cellStyle name="Nota 3 2" xfId="7441" xr:uid="{00000000-0005-0000-0000-0000CE1D0000}"/>
    <cellStyle name="Nota 3 2 2" xfId="7442" xr:uid="{00000000-0005-0000-0000-0000CF1D0000}"/>
    <cellStyle name="Nota 3 2 3" xfId="7443" xr:uid="{00000000-0005-0000-0000-0000D01D0000}"/>
    <cellStyle name="Nota 3 2 4" xfId="7444" xr:uid="{00000000-0005-0000-0000-0000D11D0000}"/>
    <cellStyle name="Nota 3 2 5" xfId="7445" xr:uid="{00000000-0005-0000-0000-0000D21D0000}"/>
    <cellStyle name="Nota 3 3" xfId="7446" xr:uid="{00000000-0005-0000-0000-0000D31D0000}"/>
    <cellStyle name="Nota 3 4" xfId="7447" xr:uid="{00000000-0005-0000-0000-0000D41D0000}"/>
    <cellStyle name="Nota 3 5" xfId="7448" xr:uid="{00000000-0005-0000-0000-0000D51D0000}"/>
    <cellStyle name="Nota 3 6" xfId="7449" xr:uid="{00000000-0005-0000-0000-0000D61D0000}"/>
    <cellStyle name="Nota 4" xfId="7450" xr:uid="{00000000-0005-0000-0000-0000D71D0000}"/>
    <cellStyle name="Nota 4 2" xfId="7451" xr:uid="{00000000-0005-0000-0000-0000D81D0000}"/>
    <cellStyle name="Nota 4 2 2" xfId="7452" xr:uid="{00000000-0005-0000-0000-0000D91D0000}"/>
    <cellStyle name="Nota 4 2 3" xfId="7453" xr:uid="{00000000-0005-0000-0000-0000DA1D0000}"/>
    <cellStyle name="Nota 4 2 4" xfId="7454" xr:uid="{00000000-0005-0000-0000-0000DB1D0000}"/>
    <cellStyle name="Nota 4 2 5" xfId="7455" xr:uid="{00000000-0005-0000-0000-0000DC1D0000}"/>
    <cellStyle name="Nota 4 3" xfId="7456" xr:uid="{00000000-0005-0000-0000-0000DD1D0000}"/>
    <cellStyle name="Nota 4 4" xfId="7457" xr:uid="{00000000-0005-0000-0000-0000DE1D0000}"/>
    <cellStyle name="Nota 4 5" xfId="7458" xr:uid="{00000000-0005-0000-0000-0000DF1D0000}"/>
    <cellStyle name="Nota 4 6" xfId="7459" xr:uid="{00000000-0005-0000-0000-0000E01D0000}"/>
    <cellStyle name="Nota 5" xfId="7460" xr:uid="{00000000-0005-0000-0000-0000E11D0000}"/>
    <cellStyle name="Nota 5 2" xfId="7461" xr:uid="{00000000-0005-0000-0000-0000E21D0000}"/>
    <cellStyle name="Nota 5 2 2" xfId="7462" xr:uid="{00000000-0005-0000-0000-0000E31D0000}"/>
    <cellStyle name="Nota 5 2 3" xfId="7463" xr:uid="{00000000-0005-0000-0000-0000E41D0000}"/>
    <cellStyle name="Nota 5 2 4" xfId="7464" xr:uid="{00000000-0005-0000-0000-0000E51D0000}"/>
    <cellStyle name="Nota 5 2 5" xfId="7465" xr:uid="{00000000-0005-0000-0000-0000E61D0000}"/>
    <cellStyle name="Nota 5 3" xfId="7466" xr:uid="{00000000-0005-0000-0000-0000E71D0000}"/>
    <cellStyle name="Nota 5 4" xfId="7467" xr:uid="{00000000-0005-0000-0000-0000E81D0000}"/>
    <cellStyle name="Nota 5 5" xfId="7468" xr:uid="{00000000-0005-0000-0000-0000E91D0000}"/>
    <cellStyle name="Nota 5 6" xfId="7469" xr:uid="{00000000-0005-0000-0000-0000EA1D0000}"/>
    <cellStyle name="Nota 6" xfId="7470" xr:uid="{00000000-0005-0000-0000-0000EB1D0000}"/>
    <cellStyle name="Nota 6 2" xfId="7471" xr:uid="{00000000-0005-0000-0000-0000EC1D0000}"/>
    <cellStyle name="Nota 6 2 2" xfId="7472" xr:uid="{00000000-0005-0000-0000-0000ED1D0000}"/>
    <cellStyle name="Nota 6 2 3" xfId="7473" xr:uid="{00000000-0005-0000-0000-0000EE1D0000}"/>
    <cellStyle name="Nota 6 2 4" xfId="7474" xr:uid="{00000000-0005-0000-0000-0000EF1D0000}"/>
    <cellStyle name="Nota 6 2 5" xfId="7475" xr:uid="{00000000-0005-0000-0000-0000F01D0000}"/>
    <cellStyle name="Nota 6 3" xfId="7476" xr:uid="{00000000-0005-0000-0000-0000F11D0000}"/>
    <cellStyle name="Nota 6 4" xfId="7477" xr:uid="{00000000-0005-0000-0000-0000F21D0000}"/>
    <cellStyle name="Nota 6 5" xfId="7478" xr:uid="{00000000-0005-0000-0000-0000F31D0000}"/>
    <cellStyle name="Nota 6 6" xfId="7479" xr:uid="{00000000-0005-0000-0000-0000F41D0000}"/>
    <cellStyle name="Nota 7" xfId="7480" xr:uid="{00000000-0005-0000-0000-0000F51D0000}"/>
    <cellStyle name="Nota 7 2" xfId="7481" xr:uid="{00000000-0005-0000-0000-0000F61D0000}"/>
    <cellStyle name="Nota 7 2 2" xfId="7482" xr:uid="{00000000-0005-0000-0000-0000F71D0000}"/>
    <cellStyle name="Nota 7 2 3" xfId="7483" xr:uid="{00000000-0005-0000-0000-0000F81D0000}"/>
    <cellStyle name="Nota 7 2 4" xfId="7484" xr:uid="{00000000-0005-0000-0000-0000F91D0000}"/>
    <cellStyle name="Nota 7 2 5" xfId="7485" xr:uid="{00000000-0005-0000-0000-0000FA1D0000}"/>
    <cellStyle name="Nota 7 3" xfId="7486" xr:uid="{00000000-0005-0000-0000-0000FB1D0000}"/>
    <cellStyle name="Nota 7 4" xfId="7487" xr:uid="{00000000-0005-0000-0000-0000FC1D0000}"/>
    <cellStyle name="Nota 7 5" xfId="7488" xr:uid="{00000000-0005-0000-0000-0000FD1D0000}"/>
    <cellStyle name="Nota 7 6" xfId="7489" xr:uid="{00000000-0005-0000-0000-0000FE1D0000}"/>
    <cellStyle name="Nota 8" xfId="7490" xr:uid="{00000000-0005-0000-0000-0000FF1D0000}"/>
    <cellStyle name="Nota 8 2" xfId="7491" xr:uid="{00000000-0005-0000-0000-0000001E0000}"/>
    <cellStyle name="Nota 8 2 2" xfId="7492" xr:uid="{00000000-0005-0000-0000-0000011E0000}"/>
    <cellStyle name="Nota 8 2 3" xfId="7493" xr:uid="{00000000-0005-0000-0000-0000021E0000}"/>
    <cellStyle name="Nota 8 2 4" xfId="7494" xr:uid="{00000000-0005-0000-0000-0000031E0000}"/>
    <cellStyle name="Nota 8 2 5" xfId="7495" xr:uid="{00000000-0005-0000-0000-0000041E0000}"/>
    <cellStyle name="Nota 8 3" xfId="7496" xr:uid="{00000000-0005-0000-0000-0000051E0000}"/>
    <cellStyle name="Nota 8 4" xfId="7497" xr:uid="{00000000-0005-0000-0000-0000061E0000}"/>
    <cellStyle name="Nota 8 5" xfId="7498" xr:uid="{00000000-0005-0000-0000-0000071E0000}"/>
    <cellStyle name="Nota 8 6" xfId="7499" xr:uid="{00000000-0005-0000-0000-0000081E0000}"/>
    <cellStyle name="Nota 9" xfId="7500" xr:uid="{00000000-0005-0000-0000-0000091E0000}"/>
    <cellStyle name="Nota 9 2" xfId="7501" xr:uid="{00000000-0005-0000-0000-00000A1E0000}"/>
    <cellStyle name="Nota 9 2 2" xfId="7502" xr:uid="{00000000-0005-0000-0000-00000B1E0000}"/>
    <cellStyle name="Nota 9 2 3" xfId="7503" xr:uid="{00000000-0005-0000-0000-00000C1E0000}"/>
    <cellStyle name="Nota 9 2 4" xfId="7504" xr:uid="{00000000-0005-0000-0000-00000D1E0000}"/>
    <cellStyle name="Nota 9 2 5" xfId="7505" xr:uid="{00000000-0005-0000-0000-00000E1E0000}"/>
    <cellStyle name="Nota 9 3" xfId="7506" xr:uid="{00000000-0005-0000-0000-00000F1E0000}"/>
    <cellStyle name="Nota 9 4" xfId="7507" xr:uid="{00000000-0005-0000-0000-0000101E0000}"/>
    <cellStyle name="Nota 9 5" xfId="7508" xr:uid="{00000000-0005-0000-0000-0000111E0000}"/>
    <cellStyle name="Nota 9 6" xfId="7509" xr:uid="{00000000-0005-0000-0000-0000121E0000}"/>
    <cellStyle name="Notas" xfId="7510" xr:uid="{00000000-0005-0000-0000-0000131E0000}"/>
    <cellStyle name="Notas 10" xfId="7511" xr:uid="{00000000-0005-0000-0000-0000141E0000}"/>
    <cellStyle name="Notas 10 2" xfId="7512" xr:uid="{00000000-0005-0000-0000-0000151E0000}"/>
    <cellStyle name="Notas 10 2 2" xfId="7513" xr:uid="{00000000-0005-0000-0000-0000161E0000}"/>
    <cellStyle name="Notas 10 2 3" xfId="7514" xr:uid="{00000000-0005-0000-0000-0000171E0000}"/>
    <cellStyle name="Notas 10 2 4" xfId="7515" xr:uid="{00000000-0005-0000-0000-0000181E0000}"/>
    <cellStyle name="Notas 10 2 5" xfId="7516" xr:uid="{00000000-0005-0000-0000-0000191E0000}"/>
    <cellStyle name="Notas 10 3" xfId="7517" xr:uid="{00000000-0005-0000-0000-00001A1E0000}"/>
    <cellStyle name="Notas 10 4" xfId="7518" xr:uid="{00000000-0005-0000-0000-00001B1E0000}"/>
    <cellStyle name="Notas 10 5" xfId="7519" xr:uid="{00000000-0005-0000-0000-00001C1E0000}"/>
    <cellStyle name="Notas 10 6" xfId="7520" xr:uid="{00000000-0005-0000-0000-00001D1E0000}"/>
    <cellStyle name="Notas 11" xfId="7521" xr:uid="{00000000-0005-0000-0000-00001E1E0000}"/>
    <cellStyle name="Notas 11 2" xfId="7522" xr:uid="{00000000-0005-0000-0000-00001F1E0000}"/>
    <cellStyle name="Notas 11 2 2" xfId="7523" xr:uid="{00000000-0005-0000-0000-0000201E0000}"/>
    <cellStyle name="Notas 11 2 3" xfId="7524" xr:uid="{00000000-0005-0000-0000-0000211E0000}"/>
    <cellStyle name="Notas 11 2 4" xfId="7525" xr:uid="{00000000-0005-0000-0000-0000221E0000}"/>
    <cellStyle name="Notas 11 2 5" xfId="7526" xr:uid="{00000000-0005-0000-0000-0000231E0000}"/>
    <cellStyle name="Notas 11 3" xfId="7527" xr:uid="{00000000-0005-0000-0000-0000241E0000}"/>
    <cellStyle name="Notas 11 4" xfId="7528" xr:uid="{00000000-0005-0000-0000-0000251E0000}"/>
    <cellStyle name="Notas 11 5" xfId="7529" xr:uid="{00000000-0005-0000-0000-0000261E0000}"/>
    <cellStyle name="Notas 11 6" xfId="7530" xr:uid="{00000000-0005-0000-0000-0000271E0000}"/>
    <cellStyle name="Notas 12" xfId="7531" xr:uid="{00000000-0005-0000-0000-0000281E0000}"/>
    <cellStyle name="Notas 12 2" xfId="7532" xr:uid="{00000000-0005-0000-0000-0000291E0000}"/>
    <cellStyle name="Notas 12 2 2" xfId="7533" xr:uid="{00000000-0005-0000-0000-00002A1E0000}"/>
    <cellStyle name="Notas 12 2 3" xfId="7534" xr:uid="{00000000-0005-0000-0000-00002B1E0000}"/>
    <cellStyle name="Notas 12 2 4" xfId="7535" xr:uid="{00000000-0005-0000-0000-00002C1E0000}"/>
    <cellStyle name="Notas 12 2 5" xfId="7536" xr:uid="{00000000-0005-0000-0000-00002D1E0000}"/>
    <cellStyle name="Notas 12 3" xfId="7537" xr:uid="{00000000-0005-0000-0000-00002E1E0000}"/>
    <cellStyle name="Notas 12 4" xfId="7538" xr:uid="{00000000-0005-0000-0000-00002F1E0000}"/>
    <cellStyle name="Notas 12 5" xfId="7539" xr:uid="{00000000-0005-0000-0000-0000301E0000}"/>
    <cellStyle name="Notas 12 6" xfId="7540" xr:uid="{00000000-0005-0000-0000-0000311E0000}"/>
    <cellStyle name="Notas 13" xfId="7541" xr:uid="{00000000-0005-0000-0000-0000321E0000}"/>
    <cellStyle name="Notas 13 2" xfId="7542" xr:uid="{00000000-0005-0000-0000-0000331E0000}"/>
    <cellStyle name="Notas 13 2 2" xfId="7543" xr:uid="{00000000-0005-0000-0000-0000341E0000}"/>
    <cellStyle name="Notas 13 2 3" xfId="7544" xr:uid="{00000000-0005-0000-0000-0000351E0000}"/>
    <cellStyle name="Notas 13 2 4" xfId="7545" xr:uid="{00000000-0005-0000-0000-0000361E0000}"/>
    <cellStyle name="Notas 13 2 5" xfId="7546" xr:uid="{00000000-0005-0000-0000-0000371E0000}"/>
    <cellStyle name="Notas 13 3" xfId="7547" xr:uid="{00000000-0005-0000-0000-0000381E0000}"/>
    <cellStyle name="Notas 13 4" xfId="7548" xr:uid="{00000000-0005-0000-0000-0000391E0000}"/>
    <cellStyle name="Notas 13 5" xfId="7549" xr:uid="{00000000-0005-0000-0000-00003A1E0000}"/>
    <cellStyle name="Notas 13 6" xfId="7550" xr:uid="{00000000-0005-0000-0000-00003B1E0000}"/>
    <cellStyle name="Notas 14" xfId="7551" xr:uid="{00000000-0005-0000-0000-00003C1E0000}"/>
    <cellStyle name="Notas 14 2" xfId="7552" xr:uid="{00000000-0005-0000-0000-00003D1E0000}"/>
    <cellStyle name="Notas 14 2 2" xfId="7553" xr:uid="{00000000-0005-0000-0000-00003E1E0000}"/>
    <cellStyle name="Notas 14 2 3" xfId="7554" xr:uid="{00000000-0005-0000-0000-00003F1E0000}"/>
    <cellStyle name="Notas 14 2 4" xfId="7555" xr:uid="{00000000-0005-0000-0000-0000401E0000}"/>
    <cellStyle name="Notas 14 2 5" xfId="7556" xr:uid="{00000000-0005-0000-0000-0000411E0000}"/>
    <cellStyle name="Notas 14 3" xfId="7557" xr:uid="{00000000-0005-0000-0000-0000421E0000}"/>
    <cellStyle name="Notas 14 4" xfId="7558" xr:uid="{00000000-0005-0000-0000-0000431E0000}"/>
    <cellStyle name="Notas 14 5" xfId="7559" xr:uid="{00000000-0005-0000-0000-0000441E0000}"/>
    <cellStyle name="Notas 14 6" xfId="7560" xr:uid="{00000000-0005-0000-0000-0000451E0000}"/>
    <cellStyle name="Notas 15" xfId="7561" xr:uid="{00000000-0005-0000-0000-0000461E0000}"/>
    <cellStyle name="Notas 15 2" xfId="7562" xr:uid="{00000000-0005-0000-0000-0000471E0000}"/>
    <cellStyle name="Notas 15 2 2" xfId="7563" xr:uid="{00000000-0005-0000-0000-0000481E0000}"/>
    <cellStyle name="Notas 15 2 3" xfId="7564" xr:uid="{00000000-0005-0000-0000-0000491E0000}"/>
    <cellStyle name="Notas 15 2 4" xfId="7565" xr:uid="{00000000-0005-0000-0000-00004A1E0000}"/>
    <cellStyle name="Notas 15 2 5" xfId="7566" xr:uid="{00000000-0005-0000-0000-00004B1E0000}"/>
    <cellStyle name="Notas 15 3" xfId="7567" xr:uid="{00000000-0005-0000-0000-00004C1E0000}"/>
    <cellStyle name="Notas 15 4" xfId="7568" xr:uid="{00000000-0005-0000-0000-00004D1E0000}"/>
    <cellStyle name="Notas 15 5" xfId="7569" xr:uid="{00000000-0005-0000-0000-00004E1E0000}"/>
    <cellStyle name="Notas 15 6" xfId="7570" xr:uid="{00000000-0005-0000-0000-00004F1E0000}"/>
    <cellStyle name="Notas 16" xfId="7571" xr:uid="{00000000-0005-0000-0000-0000501E0000}"/>
    <cellStyle name="Notas 16 2" xfId="7572" xr:uid="{00000000-0005-0000-0000-0000511E0000}"/>
    <cellStyle name="Notas 16 2 2" xfId="7573" xr:uid="{00000000-0005-0000-0000-0000521E0000}"/>
    <cellStyle name="Notas 16 2 3" xfId="7574" xr:uid="{00000000-0005-0000-0000-0000531E0000}"/>
    <cellStyle name="Notas 16 2 4" xfId="7575" xr:uid="{00000000-0005-0000-0000-0000541E0000}"/>
    <cellStyle name="Notas 16 2 5" xfId="7576" xr:uid="{00000000-0005-0000-0000-0000551E0000}"/>
    <cellStyle name="Notas 16 3" xfId="7577" xr:uid="{00000000-0005-0000-0000-0000561E0000}"/>
    <cellStyle name="Notas 16 4" xfId="7578" xr:uid="{00000000-0005-0000-0000-0000571E0000}"/>
    <cellStyle name="Notas 16 5" xfId="7579" xr:uid="{00000000-0005-0000-0000-0000581E0000}"/>
    <cellStyle name="Notas 16 6" xfId="7580" xr:uid="{00000000-0005-0000-0000-0000591E0000}"/>
    <cellStyle name="Notas 17" xfId="7581" xr:uid="{00000000-0005-0000-0000-00005A1E0000}"/>
    <cellStyle name="Notas 17 2" xfId="7582" xr:uid="{00000000-0005-0000-0000-00005B1E0000}"/>
    <cellStyle name="Notas 17 2 2" xfId="7583" xr:uid="{00000000-0005-0000-0000-00005C1E0000}"/>
    <cellStyle name="Notas 17 2 3" xfId="7584" xr:uid="{00000000-0005-0000-0000-00005D1E0000}"/>
    <cellStyle name="Notas 17 2 4" xfId="7585" xr:uid="{00000000-0005-0000-0000-00005E1E0000}"/>
    <cellStyle name="Notas 17 2 5" xfId="7586" xr:uid="{00000000-0005-0000-0000-00005F1E0000}"/>
    <cellStyle name="Notas 17 3" xfId="7587" xr:uid="{00000000-0005-0000-0000-0000601E0000}"/>
    <cellStyle name="Notas 17 4" xfId="7588" xr:uid="{00000000-0005-0000-0000-0000611E0000}"/>
    <cellStyle name="Notas 17 5" xfId="7589" xr:uid="{00000000-0005-0000-0000-0000621E0000}"/>
    <cellStyle name="Notas 17 6" xfId="7590" xr:uid="{00000000-0005-0000-0000-0000631E0000}"/>
    <cellStyle name="Notas 18" xfId="7591" xr:uid="{00000000-0005-0000-0000-0000641E0000}"/>
    <cellStyle name="Notas 18 2" xfId="7592" xr:uid="{00000000-0005-0000-0000-0000651E0000}"/>
    <cellStyle name="Notas 18 2 2" xfId="7593" xr:uid="{00000000-0005-0000-0000-0000661E0000}"/>
    <cellStyle name="Notas 18 2 3" xfId="7594" xr:uid="{00000000-0005-0000-0000-0000671E0000}"/>
    <cellStyle name="Notas 18 2 4" xfId="7595" xr:uid="{00000000-0005-0000-0000-0000681E0000}"/>
    <cellStyle name="Notas 18 2 5" xfId="7596" xr:uid="{00000000-0005-0000-0000-0000691E0000}"/>
    <cellStyle name="Notas 18 3" xfId="7597" xr:uid="{00000000-0005-0000-0000-00006A1E0000}"/>
    <cellStyle name="Notas 18 4" xfId="7598" xr:uid="{00000000-0005-0000-0000-00006B1E0000}"/>
    <cellStyle name="Notas 18 5" xfId="7599" xr:uid="{00000000-0005-0000-0000-00006C1E0000}"/>
    <cellStyle name="Notas 18 6" xfId="7600" xr:uid="{00000000-0005-0000-0000-00006D1E0000}"/>
    <cellStyle name="Notas 19" xfId="7601" xr:uid="{00000000-0005-0000-0000-00006E1E0000}"/>
    <cellStyle name="Notas 19 2" xfId="7602" xr:uid="{00000000-0005-0000-0000-00006F1E0000}"/>
    <cellStyle name="Notas 19 3" xfId="7603" xr:uid="{00000000-0005-0000-0000-0000701E0000}"/>
    <cellStyle name="Notas 19 4" xfId="7604" xr:uid="{00000000-0005-0000-0000-0000711E0000}"/>
    <cellStyle name="Notas 19 5" xfId="7605" xr:uid="{00000000-0005-0000-0000-0000721E0000}"/>
    <cellStyle name="Notas 2" xfId="7606" xr:uid="{00000000-0005-0000-0000-0000731E0000}"/>
    <cellStyle name="Notas 2 2" xfId="7607" xr:uid="{00000000-0005-0000-0000-0000741E0000}"/>
    <cellStyle name="Notas 2 2 2" xfId="7608" xr:uid="{00000000-0005-0000-0000-0000751E0000}"/>
    <cellStyle name="Notas 2 2 3" xfId="7609" xr:uid="{00000000-0005-0000-0000-0000761E0000}"/>
    <cellStyle name="Notas 2 2 4" xfId="7610" xr:uid="{00000000-0005-0000-0000-0000771E0000}"/>
    <cellStyle name="Notas 2 2 5" xfId="7611" xr:uid="{00000000-0005-0000-0000-0000781E0000}"/>
    <cellStyle name="Notas 2 3" xfId="7612" xr:uid="{00000000-0005-0000-0000-0000791E0000}"/>
    <cellStyle name="Notas 2 4" xfId="7613" xr:uid="{00000000-0005-0000-0000-00007A1E0000}"/>
    <cellStyle name="Notas 2 5" xfId="7614" xr:uid="{00000000-0005-0000-0000-00007B1E0000}"/>
    <cellStyle name="Notas 2 6" xfId="7615" xr:uid="{00000000-0005-0000-0000-00007C1E0000}"/>
    <cellStyle name="Notas 20" xfId="7616" xr:uid="{00000000-0005-0000-0000-00007D1E0000}"/>
    <cellStyle name="Notas 21" xfId="7617" xr:uid="{00000000-0005-0000-0000-00007E1E0000}"/>
    <cellStyle name="Notas 22" xfId="7618" xr:uid="{00000000-0005-0000-0000-00007F1E0000}"/>
    <cellStyle name="Notas 23" xfId="7619" xr:uid="{00000000-0005-0000-0000-0000801E0000}"/>
    <cellStyle name="Notas 3" xfId="7620" xr:uid="{00000000-0005-0000-0000-0000811E0000}"/>
    <cellStyle name="Notas 3 2" xfId="7621" xr:uid="{00000000-0005-0000-0000-0000821E0000}"/>
    <cellStyle name="Notas 3 2 2" xfId="7622" xr:uid="{00000000-0005-0000-0000-0000831E0000}"/>
    <cellStyle name="Notas 3 2 3" xfId="7623" xr:uid="{00000000-0005-0000-0000-0000841E0000}"/>
    <cellStyle name="Notas 3 2 4" xfId="7624" xr:uid="{00000000-0005-0000-0000-0000851E0000}"/>
    <cellStyle name="Notas 3 2 5" xfId="7625" xr:uid="{00000000-0005-0000-0000-0000861E0000}"/>
    <cellStyle name="Notas 3 3" xfId="7626" xr:uid="{00000000-0005-0000-0000-0000871E0000}"/>
    <cellStyle name="Notas 3 4" xfId="7627" xr:uid="{00000000-0005-0000-0000-0000881E0000}"/>
    <cellStyle name="Notas 3 5" xfId="7628" xr:uid="{00000000-0005-0000-0000-0000891E0000}"/>
    <cellStyle name="Notas 3 6" xfId="7629" xr:uid="{00000000-0005-0000-0000-00008A1E0000}"/>
    <cellStyle name="Notas 4" xfId="7630" xr:uid="{00000000-0005-0000-0000-00008B1E0000}"/>
    <cellStyle name="Notas 4 2" xfId="7631" xr:uid="{00000000-0005-0000-0000-00008C1E0000}"/>
    <cellStyle name="Notas 4 2 2" xfId="7632" xr:uid="{00000000-0005-0000-0000-00008D1E0000}"/>
    <cellStyle name="Notas 4 2 3" xfId="7633" xr:uid="{00000000-0005-0000-0000-00008E1E0000}"/>
    <cellStyle name="Notas 4 2 4" xfId="7634" xr:uid="{00000000-0005-0000-0000-00008F1E0000}"/>
    <cellStyle name="Notas 4 2 5" xfId="7635" xr:uid="{00000000-0005-0000-0000-0000901E0000}"/>
    <cellStyle name="Notas 4 3" xfId="7636" xr:uid="{00000000-0005-0000-0000-0000911E0000}"/>
    <cellStyle name="Notas 4 4" xfId="7637" xr:uid="{00000000-0005-0000-0000-0000921E0000}"/>
    <cellStyle name="Notas 4 5" xfId="7638" xr:uid="{00000000-0005-0000-0000-0000931E0000}"/>
    <cellStyle name="Notas 4 6" xfId="7639" xr:uid="{00000000-0005-0000-0000-0000941E0000}"/>
    <cellStyle name="Notas 5" xfId="7640" xr:uid="{00000000-0005-0000-0000-0000951E0000}"/>
    <cellStyle name="Notas 5 2" xfId="7641" xr:uid="{00000000-0005-0000-0000-0000961E0000}"/>
    <cellStyle name="Notas 5 2 2" xfId="7642" xr:uid="{00000000-0005-0000-0000-0000971E0000}"/>
    <cellStyle name="Notas 5 2 3" xfId="7643" xr:uid="{00000000-0005-0000-0000-0000981E0000}"/>
    <cellStyle name="Notas 5 2 4" xfId="7644" xr:uid="{00000000-0005-0000-0000-0000991E0000}"/>
    <cellStyle name="Notas 5 2 5" xfId="7645" xr:uid="{00000000-0005-0000-0000-00009A1E0000}"/>
    <cellStyle name="Notas 5 3" xfId="7646" xr:uid="{00000000-0005-0000-0000-00009B1E0000}"/>
    <cellStyle name="Notas 5 4" xfId="7647" xr:uid="{00000000-0005-0000-0000-00009C1E0000}"/>
    <cellStyle name="Notas 5 5" xfId="7648" xr:uid="{00000000-0005-0000-0000-00009D1E0000}"/>
    <cellStyle name="Notas 5 6" xfId="7649" xr:uid="{00000000-0005-0000-0000-00009E1E0000}"/>
    <cellStyle name="Notas 6" xfId="7650" xr:uid="{00000000-0005-0000-0000-00009F1E0000}"/>
    <cellStyle name="Notas 6 2" xfId="7651" xr:uid="{00000000-0005-0000-0000-0000A01E0000}"/>
    <cellStyle name="Notas 6 2 2" xfId="7652" xr:uid="{00000000-0005-0000-0000-0000A11E0000}"/>
    <cellStyle name="Notas 6 2 3" xfId="7653" xr:uid="{00000000-0005-0000-0000-0000A21E0000}"/>
    <cellStyle name="Notas 6 2 4" xfId="7654" xr:uid="{00000000-0005-0000-0000-0000A31E0000}"/>
    <cellStyle name="Notas 6 2 5" xfId="7655" xr:uid="{00000000-0005-0000-0000-0000A41E0000}"/>
    <cellStyle name="Notas 6 3" xfId="7656" xr:uid="{00000000-0005-0000-0000-0000A51E0000}"/>
    <cellStyle name="Notas 6 4" xfId="7657" xr:uid="{00000000-0005-0000-0000-0000A61E0000}"/>
    <cellStyle name="Notas 6 5" xfId="7658" xr:uid="{00000000-0005-0000-0000-0000A71E0000}"/>
    <cellStyle name="Notas 6 6" xfId="7659" xr:uid="{00000000-0005-0000-0000-0000A81E0000}"/>
    <cellStyle name="Notas 7" xfId="7660" xr:uid="{00000000-0005-0000-0000-0000A91E0000}"/>
    <cellStyle name="Notas 7 2" xfId="7661" xr:uid="{00000000-0005-0000-0000-0000AA1E0000}"/>
    <cellStyle name="Notas 7 2 2" xfId="7662" xr:uid="{00000000-0005-0000-0000-0000AB1E0000}"/>
    <cellStyle name="Notas 7 2 3" xfId="7663" xr:uid="{00000000-0005-0000-0000-0000AC1E0000}"/>
    <cellStyle name="Notas 7 2 4" xfId="7664" xr:uid="{00000000-0005-0000-0000-0000AD1E0000}"/>
    <cellStyle name="Notas 7 2 5" xfId="7665" xr:uid="{00000000-0005-0000-0000-0000AE1E0000}"/>
    <cellStyle name="Notas 7 3" xfId="7666" xr:uid="{00000000-0005-0000-0000-0000AF1E0000}"/>
    <cellStyle name="Notas 7 4" xfId="7667" xr:uid="{00000000-0005-0000-0000-0000B01E0000}"/>
    <cellStyle name="Notas 7 5" xfId="7668" xr:uid="{00000000-0005-0000-0000-0000B11E0000}"/>
    <cellStyle name="Notas 7 6" xfId="7669" xr:uid="{00000000-0005-0000-0000-0000B21E0000}"/>
    <cellStyle name="Notas 8" xfId="7670" xr:uid="{00000000-0005-0000-0000-0000B31E0000}"/>
    <cellStyle name="Notas 8 2" xfId="7671" xr:uid="{00000000-0005-0000-0000-0000B41E0000}"/>
    <cellStyle name="Notas 8 2 2" xfId="7672" xr:uid="{00000000-0005-0000-0000-0000B51E0000}"/>
    <cellStyle name="Notas 8 2 3" xfId="7673" xr:uid="{00000000-0005-0000-0000-0000B61E0000}"/>
    <cellStyle name="Notas 8 2 4" xfId="7674" xr:uid="{00000000-0005-0000-0000-0000B71E0000}"/>
    <cellStyle name="Notas 8 2 5" xfId="7675" xr:uid="{00000000-0005-0000-0000-0000B81E0000}"/>
    <cellStyle name="Notas 8 3" xfId="7676" xr:uid="{00000000-0005-0000-0000-0000B91E0000}"/>
    <cellStyle name="Notas 8 4" xfId="7677" xr:uid="{00000000-0005-0000-0000-0000BA1E0000}"/>
    <cellStyle name="Notas 8 5" xfId="7678" xr:uid="{00000000-0005-0000-0000-0000BB1E0000}"/>
    <cellStyle name="Notas 8 6" xfId="7679" xr:uid="{00000000-0005-0000-0000-0000BC1E0000}"/>
    <cellStyle name="Notas 9" xfId="7680" xr:uid="{00000000-0005-0000-0000-0000BD1E0000}"/>
    <cellStyle name="Notas 9 2" xfId="7681" xr:uid="{00000000-0005-0000-0000-0000BE1E0000}"/>
    <cellStyle name="Notas 9 2 2" xfId="7682" xr:uid="{00000000-0005-0000-0000-0000BF1E0000}"/>
    <cellStyle name="Notas 9 2 3" xfId="7683" xr:uid="{00000000-0005-0000-0000-0000C01E0000}"/>
    <cellStyle name="Notas 9 2 4" xfId="7684" xr:uid="{00000000-0005-0000-0000-0000C11E0000}"/>
    <cellStyle name="Notas 9 2 5" xfId="7685" xr:uid="{00000000-0005-0000-0000-0000C21E0000}"/>
    <cellStyle name="Notas 9 3" xfId="7686" xr:uid="{00000000-0005-0000-0000-0000C31E0000}"/>
    <cellStyle name="Notas 9 4" xfId="7687" xr:uid="{00000000-0005-0000-0000-0000C41E0000}"/>
    <cellStyle name="Notas 9 5" xfId="7688" xr:uid="{00000000-0005-0000-0000-0000C51E0000}"/>
    <cellStyle name="Notas 9 6" xfId="7689" xr:uid="{00000000-0005-0000-0000-0000C61E0000}"/>
    <cellStyle name="Notas_KTR An-Abflug" xfId="14877" xr:uid="{00000000-0005-0000-0000-0000C71E0000}"/>
    <cellStyle name="Note 10" xfId="7691" xr:uid="{00000000-0005-0000-0000-0000C91E0000}"/>
    <cellStyle name="Note 10 2" xfId="7692" xr:uid="{00000000-0005-0000-0000-0000CA1E0000}"/>
    <cellStyle name="Note 10 2 2" xfId="7693" xr:uid="{00000000-0005-0000-0000-0000CB1E0000}"/>
    <cellStyle name="Note 10 2 3" xfId="7694" xr:uid="{00000000-0005-0000-0000-0000CC1E0000}"/>
    <cellStyle name="Note 10 2 4" xfId="7695" xr:uid="{00000000-0005-0000-0000-0000CD1E0000}"/>
    <cellStyle name="Note 10 2 5" xfId="7696" xr:uid="{00000000-0005-0000-0000-0000CE1E0000}"/>
    <cellStyle name="Note 10 3" xfId="7697" xr:uid="{00000000-0005-0000-0000-0000CF1E0000}"/>
    <cellStyle name="Note 10 4" xfId="7698" xr:uid="{00000000-0005-0000-0000-0000D01E0000}"/>
    <cellStyle name="Note 10 5" xfId="7699" xr:uid="{00000000-0005-0000-0000-0000D11E0000}"/>
    <cellStyle name="Note 10 6" xfId="7700" xr:uid="{00000000-0005-0000-0000-0000D21E0000}"/>
    <cellStyle name="Note 11" xfId="7701" xr:uid="{00000000-0005-0000-0000-0000D31E0000}"/>
    <cellStyle name="Note 11 2" xfId="7702" xr:uid="{00000000-0005-0000-0000-0000D41E0000}"/>
    <cellStyle name="Note 11 2 2" xfId="7703" xr:uid="{00000000-0005-0000-0000-0000D51E0000}"/>
    <cellStyle name="Note 11 2 3" xfId="7704" xr:uid="{00000000-0005-0000-0000-0000D61E0000}"/>
    <cellStyle name="Note 11 2 4" xfId="7705" xr:uid="{00000000-0005-0000-0000-0000D71E0000}"/>
    <cellStyle name="Note 11 2 5" xfId="7706" xr:uid="{00000000-0005-0000-0000-0000D81E0000}"/>
    <cellStyle name="Note 11 3" xfId="7707" xr:uid="{00000000-0005-0000-0000-0000D91E0000}"/>
    <cellStyle name="Note 11 4" xfId="7708" xr:uid="{00000000-0005-0000-0000-0000DA1E0000}"/>
    <cellStyle name="Note 11 5" xfId="7709" xr:uid="{00000000-0005-0000-0000-0000DB1E0000}"/>
    <cellStyle name="Note 11 6" xfId="7710" xr:uid="{00000000-0005-0000-0000-0000DC1E0000}"/>
    <cellStyle name="Note 12" xfId="7711" xr:uid="{00000000-0005-0000-0000-0000DD1E0000}"/>
    <cellStyle name="Note 12 2" xfId="7712" xr:uid="{00000000-0005-0000-0000-0000DE1E0000}"/>
    <cellStyle name="Note 12 2 2" xfId="7713" xr:uid="{00000000-0005-0000-0000-0000DF1E0000}"/>
    <cellStyle name="Note 12 2 3" xfId="7714" xr:uid="{00000000-0005-0000-0000-0000E01E0000}"/>
    <cellStyle name="Note 12 2 4" xfId="7715" xr:uid="{00000000-0005-0000-0000-0000E11E0000}"/>
    <cellStyle name="Note 12 2 5" xfId="7716" xr:uid="{00000000-0005-0000-0000-0000E21E0000}"/>
    <cellStyle name="Note 12 3" xfId="7717" xr:uid="{00000000-0005-0000-0000-0000E31E0000}"/>
    <cellStyle name="Note 12 4" xfId="7718" xr:uid="{00000000-0005-0000-0000-0000E41E0000}"/>
    <cellStyle name="Note 12 5" xfId="7719" xr:uid="{00000000-0005-0000-0000-0000E51E0000}"/>
    <cellStyle name="Note 12 6" xfId="7720" xr:uid="{00000000-0005-0000-0000-0000E61E0000}"/>
    <cellStyle name="Note 13" xfId="7721" xr:uid="{00000000-0005-0000-0000-0000E71E0000}"/>
    <cellStyle name="Note 13 2" xfId="7722" xr:uid="{00000000-0005-0000-0000-0000E81E0000}"/>
    <cellStyle name="Note 13 2 2" xfId="7723" xr:uid="{00000000-0005-0000-0000-0000E91E0000}"/>
    <cellStyle name="Note 13 2 3" xfId="7724" xr:uid="{00000000-0005-0000-0000-0000EA1E0000}"/>
    <cellStyle name="Note 13 2 4" xfId="7725" xr:uid="{00000000-0005-0000-0000-0000EB1E0000}"/>
    <cellStyle name="Note 13 2 5" xfId="7726" xr:uid="{00000000-0005-0000-0000-0000EC1E0000}"/>
    <cellStyle name="Note 13 3" xfId="7727" xr:uid="{00000000-0005-0000-0000-0000ED1E0000}"/>
    <cellStyle name="Note 13 4" xfId="7728" xr:uid="{00000000-0005-0000-0000-0000EE1E0000}"/>
    <cellStyle name="Note 13 5" xfId="7729" xr:uid="{00000000-0005-0000-0000-0000EF1E0000}"/>
    <cellStyle name="Note 13 6" xfId="7730" xr:uid="{00000000-0005-0000-0000-0000F01E0000}"/>
    <cellStyle name="Note 14" xfId="7731" xr:uid="{00000000-0005-0000-0000-0000F11E0000}"/>
    <cellStyle name="Note 14 2" xfId="7732" xr:uid="{00000000-0005-0000-0000-0000F21E0000}"/>
    <cellStyle name="Note 14 2 2" xfId="7733" xr:uid="{00000000-0005-0000-0000-0000F31E0000}"/>
    <cellStyle name="Note 14 2 3" xfId="7734" xr:uid="{00000000-0005-0000-0000-0000F41E0000}"/>
    <cellStyle name="Note 14 2 4" xfId="7735" xr:uid="{00000000-0005-0000-0000-0000F51E0000}"/>
    <cellStyle name="Note 14 2 5" xfId="7736" xr:uid="{00000000-0005-0000-0000-0000F61E0000}"/>
    <cellStyle name="Note 14 3" xfId="7737" xr:uid="{00000000-0005-0000-0000-0000F71E0000}"/>
    <cellStyle name="Note 14 4" xfId="7738" xr:uid="{00000000-0005-0000-0000-0000F81E0000}"/>
    <cellStyle name="Note 14 5" xfId="7739" xr:uid="{00000000-0005-0000-0000-0000F91E0000}"/>
    <cellStyle name="Note 14 6" xfId="7740" xr:uid="{00000000-0005-0000-0000-0000FA1E0000}"/>
    <cellStyle name="Note 15" xfId="7741" xr:uid="{00000000-0005-0000-0000-0000FB1E0000}"/>
    <cellStyle name="Note 15 2" xfId="7742" xr:uid="{00000000-0005-0000-0000-0000FC1E0000}"/>
    <cellStyle name="Note 15 2 2" xfId="7743" xr:uid="{00000000-0005-0000-0000-0000FD1E0000}"/>
    <cellStyle name="Note 15 2 3" xfId="7744" xr:uid="{00000000-0005-0000-0000-0000FE1E0000}"/>
    <cellStyle name="Note 15 2 4" xfId="7745" xr:uid="{00000000-0005-0000-0000-0000FF1E0000}"/>
    <cellStyle name="Note 15 2 5" xfId="7746" xr:uid="{00000000-0005-0000-0000-0000001F0000}"/>
    <cellStyle name="Note 15 3" xfId="7747" xr:uid="{00000000-0005-0000-0000-0000011F0000}"/>
    <cellStyle name="Note 15 4" xfId="7748" xr:uid="{00000000-0005-0000-0000-0000021F0000}"/>
    <cellStyle name="Note 15 5" xfId="7749" xr:uid="{00000000-0005-0000-0000-0000031F0000}"/>
    <cellStyle name="Note 15 6" xfId="7750" xr:uid="{00000000-0005-0000-0000-0000041F0000}"/>
    <cellStyle name="Note 16" xfId="7751" xr:uid="{00000000-0005-0000-0000-0000051F0000}"/>
    <cellStyle name="Note 16 2" xfId="7752" xr:uid="{00000000-0005-0000-0000-0000061F0000}"/>
    <cellStyle name="Note 16 3" xfId="7753" xr:uid="{00000000-0005-0000-0000-0000071F0000}"/>
    <cellStyle name="Note 16 4" xfId="7754" xr:uid="{00000000-0005-0000-0000-0000081F0000}"/>
    <cellStyle name="Note 16 5" xfId="7755" xr:uid="{00000000-0005-0000-0000-0000091F0000}"/>
    <cellStyle name="Note 17" xfId="7756" xr:uid="{00000000-0005-0000-0000-00000A1F0000}"/>
    <cellStyle name="Note 18" xfId="7757" xr:uid="{00000000-0005-0000-0000-00000B1F0000}"/>
    <cellStyle name="Note 19" xfId="7758" xr:uid="{00000000-0005-0000-0000-00000C1F0000}"/>
    <cellStyle name="Note 2" xfId="7759" xr:uid="{00000000-0005-0000-0000-00000D1F0000}"/>
    <cellStyle name="Note 2 2" xfId="7760" xr:uid="{00000000-0005-0000-0000-00000E1F0000}"/>
    <cellStyle name="Note 2 2 2" xfId="7761" xr:uid="{00000000-0005-0000-0000-00000F1F0000}"/>
    <cellStyle name="Note 2 2 2 2" xfId="7762" xr:uid="{00000000-0005-0000-0000-0000101F0000}"/>
    <cellStyle name="Note 2 2 2 3" xfId="7763" xr:uid="{00000000-0005-0000-0000-0000111F0000}"/>
    <cellStyle name="Note 2 2 3" xfId="7764" xr:uid="{00000000-0005-0000-0000-0000121F0000}"/>
    <cellStyle name="Note 2 2 4" xfId="7765" xr:uid="{00000000-0005-0000-0000-0000131F0000}"/>
    <cellStyle name="Note 2 2 5" xfId="7766" xr:uid="{00000000-0005-0000-0000-0000141F0000}"/>
    <cellStyle name="Note 2 2 6" xfId="7767" xr:uid="{00000000-0005-0000-0000-0000151F0000}"/>
    <cellStyle name="Note 2 3" xfId="7768" xr:uid="{00000000-0005-0000-0000-0000161F0000}"/>
    <cellStyle name="Note 2 3 2" xfId="7769" xr:uid="{00000000-0005-0000-0000-0000171F0000}"/>
    <cellStyle name="Note 2 3 3" xfId="7770" xr:uid="{00000000-0005-0000-0000-0000181F0000}"/>
    <cellStyle name="Note 2 4" xfId="7771" xr:uid="{00000000-0005-0000-0000-0000191F0000}"/>
    <cellStyle name="Note 2 4 2" xfId="7772" xr:uid="{00000000-0005-0000-0000-00001A1F0000}"/>
    <cellStyle name="Note 2 4 3" xfId="7773" xr:uid="{00000000-0005-0000-0000-00001B1F0000}"/>
    <cellStyle name="Note 2 5" xfId="7774" xr:uid="{00000000-0005-0000-0000-00001C1F0000}"/>
    <cellStyle name="Note 2 6" xfId="7775" xr:uid="{00000000-0005-0000-0000-00001D1F0000}"/>
    <cellStyle name="Note 2 7" xfId="7776" xr:uid="{00000000-0005-0000-0000-00001E1F0000}"/>
    <cellStyle name="Note 2 8" xfId="7777" xr:uid="{00000000-0005-0000-0000-00001F1F0000}"/>
    <cellStyle name="Note 20" xfId="7778" xr:uid="{00000000-0005-0000-0000-0000201F0000}"/>
    <cellStyle name="Note 3" xfId="7779" xr:uid="{00000000-0005-0000-0000-0000211F0000}"/>
    <cellStyle name="Note 3 2" xfId="7780" xr:uid="{00000000-0005-0000-0000-0000221F0000}"/>
    <cellStyle name="Note 3 2 2" xfId="7781" xr:uid="{00000000-0005-0000-0000-0000231F0000}"/>
    <cellStyle name="Note 3 2 3" xfId="7782" xr:uid="{00000000-0005-0000-0000-0000241F0000}"/>
    <cellStyle name="Note 3 2 4" xfId="7783" xr:uid="{00000000-0005-0000-0000-0000251F0000}"/>
    <cellStyle name="Note 3 2 5" xfId="7784" xr:uid="{00000000-0005-0000-0000-0000261F0000}"/>
    <cellStyle name="Note 3 3" xfId="7785" xr:uid="{00000000-0005-0000-0000-0000271F0000}"/>
    <cellStyle name="Note 3 4" xfId="7786" xr:uid="{00000000-0005-0000-0000-0000281F0000}"/>
    <cellStyle name="Note 3 5" xfId="7787" xr:uid="{00000000-0005-0000-0000-0000291F0000}"/>
    <cellStyle name="Note 3 6" xfId="7788" xr:uid="{00000000-0005-0000-0000-00002A1F0000}"/>
    <cellStyle name="Note 4" xfId="7789" xr:uid="{00000000-0005-0000-0000-00002B1F0000}"/>
    <cellStyle name="Note 4 2" xfId="7790" xr:uid="{00000000-0005-0000-0000-00002C1F0000}"/>
    <cellStyle name="Note 4 2 2" xfId="7791" xr:uid="{00000000-0005-0000-0000-00002D1F0000}"/>
    <cellStyle name="Note 4 2 3" xfId="7792" xr:uid="{00000000-0005-0000-0000-00002E1F0000}"/>
    <cellStyle name="Note 4 2 4" xfId="7793" xr:uid="{00000000-0005-0000-0000-00002F1F0000}"/>
    <cellStyle name="Note 4 2 5" xfId="7794" xr:uid="{00000000-0005-0000-0000-0000301F0000}"/>
    <cellStyle name="Note 4 3" xfId="7795" xr:uid="{00000000-0005-0000-0000-0000311F0000}"/>
    <cellStyle name="Note 4 4" xfId="7796" xr:uid="{00000000-0005-0000-0000-0000321F0000}"/>
    <cellStyle name="Note 4 5" xfId="7797" xr:uid="{00000000-0005-0000-0000-0000331F0000}"/>
    <cellStyle name="Note 4 6" xfId="7798" xr:uid="{00000000-0005-0000-0000-0000341F0000}"/>
    <cellStyle name="Note 5" xfId="7799" xr:uid="{00000000-0005-0000-0000-0000351F0000}"/>
    <cellStyle name="Note 5 2" xfId="7800" xr:uid="{00000000-0005-0000-0000-0000361F0000}"/>
    <cellStyle name="Note 5 2 2" xfId="7801" xr:uid="{00000000-0005-0000-0000-0000371F0000}"/>
    <cellStyle name="Note 5 2 3" xfId="7802" xr:uid="{00000000-0005-0000-0000-0000381F0000}"/>
    <cellStyle name="Note 5 2 4" xfId="7803" xr:uid="{00000000-0005-0000-0000-0000391F0000}"/>
    <cellStyle name="Note 5 2 5" xfId="7804" xr:uid="{00000000-0005-0000-0000-00003A1F0000}"/>
    <cellStyle name="Note 5 3" xfId="7805" xr:uid="{00000000-0005-0000-0000-00003B1F0000}"/>
    <cellStyle name="Note 5 4" xfId="7806" xr:uid="{00000000-0005-0000-0000-00003C1F0000}"/>
    <cellStyle name="Note 5 5" xfId="7807" xr:uid="{00000000-0005-0000-0000-00003D1F0000}"/>
    <cellStyle name="Note 5 6" xfId="7808" xr:uid="{00000000-0005-0000-0000-00003E1F0000}"/>
    <cellStyle name="Note 6" xfId="7809" xr:uid="{00000000-0005-0000-0000-00003F1F0000}"/>
    <cellStyle name="Note 6 2" xfId="7810" xr:uid="{00000000-0005-0000-0000-0000401F0000}"/>
    <cellStyle name="Note 6 2 2" xfId="7811" xr:uid="{00000000-0005-0000-0000-0000411F0000}"/>
    <cellStyle name="Note 6 2 3" xfId="7812" xr:uid="{00000000-0005-0000-0000-0000421F0000}"/>
    <cellStyle name="Note 6 2 4" xfId="7813" xr:uid="{00000000-0005-0000-0000-0000431F0000}"/>
    <cellStyle name="Note 6 2 5" xfId="7814" xr:uid="{00000000-0005-0000-0000-0000441F0000}"/>
    <cellStyle name="Note 6 3" xfId="7815" xr:uid="{00000000-0005-0000-0000-0000451F0000}"/>
    <cellStyle name="Note 6 4" xfId="7816" xr:uid="{00000000-0005-0000-0000-0000461F0000}"/>
    <cellStyle name="Note 6 5" xfId="7817" xr:uid="{00000000-0005-0000-0000-0000471F0000}"/>
    <cellStyle name="Note 6 6" xfId="7818" xr:uid="{00000000-0005-0000-0000-0000481F0000}"/>
    <cellStyle name="Note 7" xfId="7819" xr:uid="{00000000-0005-0000-0000-0000491F0000}"/>
    <cellStyle name="Note 7 2" xfId="7820" xr:uid="{00000000-0005-0000-0000-00004A1F0000}"/>
    <cellStyle name="Note 7 2 2" xfId="7821" xr:uid="{00000000-0005-0000-0000-00004B1F0000}"/>
    <cellStyle name="Note 7 2 3" xfId="7822" xr:uid="{00000000-0005-0000-0000-00004C1F0000}"/>
    <cellStyle name="Note 7 2 4" xfId="7823" xr:uid="{00000000-0005-0000-0000-00004D1F0000}"/>
    <cellStyle name="Note 7 2 5" xfId="7824" xr:uid="{00000000-0005-0000-0000-00004E1F0000}"/>
    <cellStyle name="Note 7 3" xfId="7825" xr:uid="{00000000-0005-0000-0000-00004F1F0000}"/>
    <cellStyle name="Note 7 4" xfId="7826" xr:uid="{00000000-0005-0000-0000-0000501F0000}"/>
    <cellStyle name="Note 7 5" xfId="7827" xr:uid="{00000000-0005-0000-0000-0000511F0000}"/>
    <cellStyle name="Note 7 6" xfId="7828" xr:uid="{00000000-0005-0000-0000-0000521F0000}"/>
    <cellStyle name="Note 8" xfId="7829" xr:uid="{00000000-0005-0000-0000-0000531F0000}"/>
    <cellStyle name="Note 8 2" xfId="7830" xr:uid="{00000000-0005-0000-0000-0000541F0000}"/>
    <cellStyle name="Note 8 2 2" xfId="7831" xr:uid="{00000000-0005-0000-0000-0000551F0000}"/>
    <cellStyle name="Note 8 2 3" xfId="7832" xr:uid="{00000000-0005-0000-0000-0000561F0000}"/>
    <cellStyle name="Note 8 2 4" xfId="7833" xr:uid="{00000000-0005-0000-0000-0000571F0000}"/>
    <cellStyle name="Note 8 2 5" xfId="7834" xr:uid="{00000000-0005-0000-0000-0000581F0000}"/>
    <cellStyle name="Note 8 3" xfId="7835" xr:uid="{00000000-0005-0000-0000-0000591F0000}"/>
    <cellStyle name="Note 8 4" xfId="7836" xr:uid="{00000000-0005-0000-0000-00005A1F0000}"/>
    <cellStyle name="Note 8 5" xfId="7837" xr:uid="{00000000-0005-0000-0000-00005B1F0000}"/>
    <cellStyle name="Note 8 6" xfId="7838" xr:uid="{00000000-0005-0000-0000-00005C1F0000}"/>
    <cellStyle name="Note 9" xfId="7839" xr:uid="{00000000-0005-0000-0000-00005D1F0000}"/>
    <cellStyle name="Note 9 2" xfId="7840" xr:uid="{00000000-0005-0000-0000-00005E1F0000}"/>
    <cellStyle name="Note 9 2 2" xfId="7841" xr:uid="{00000000-0005-0000-0000-00005F1F0000}"/>
    <cellStyle name="Note 9 2 3" xfId="7842" xr:uid="{00000000-0005-0000-0000-0000601F0000}"/>
    <cellStyle name="Note 9 2 4" xfId="7843" xr:uid="{00000000-0005-0000-0000-0000611F0000}"/>
    <cellStyle name="Note 9 2 5" xfId="7844" xr:uid="{00000000-0005-0000-0000-0000621F0000}"/>
    <cellStyle name="Note 9 3" xfId="7845" xr:uid="{00000000-0005-0000-0000-0000631F0000}"/>
    <cellStyle name="Note 9 4" xfId="7846" xr:uid="{00000000-0005-0000-0000-0000641F0000}"/>
    <cellStyle name="Note 9 5" xfId="7847" xr:uid="{00000000-0005-0000-0000-0000651F0000}"/>
    <cellStyle name="Note 9 6" xfId="7848" xr:uid="{00000000-0005-0000-0000-0000661F0000}"/>
    <cellStyle name="Notes" xfId="7849" xr:uid="{00000000-0005-0000-0000-0000671F0000}"/>
    <cellStyle name="Notiz" xfId="7850" xr:uid="{00000000-0005-0000-0000-0000681F0000}"/>
    <cellStyle name="Notiz 2" xfId="7851" xr:uid="{00000000-0005-0000-0000-0000691F0000}"/>
    <cellStyle name="Notiz 3" xfId="7852" xr:uid="{00000000-0005-0000-0000-00006A1F0000}"/>
    <cellStyle name="Number" xfId="7853" xr:uid="{00000000-0005-0000-0000-00006B1F0000}"/>
    <cellStyle name="Number 1" xfId="7854" xr:uid="{00000000-0005-0000-0000-00006C1F0000}"/>
    <cellStyle name="Number 1 2" xfId="7855" xr:uid="{00000000-0005-0000-0000-00006D1F0000}"/>
    <cellStyle name="Number 1 3" xfId="7856" xr:uid="{00000000-0005-0000-0000-00006E1F0000}"/>
    <cellStyle name="Number 2" xfId="7857" xr:uid="{00000000-0005-0000-0000-00006F1F0000}"/>
    <cellStyle name="Number 3" xfId="7858" xr:uid="{00000000-0005-0000-0000-0000701F0000}"/>
    <cellStyle name="Number Date" xfId="7859" xr:uid="{00000000-0005-0000-0000-0000711F0000}"/>
    <cellStyle name="Number Date (short)" xfId="7860" xr:uid="{00000000-0005-0000-0000-0000721F0000}"/>
    <cellStyle name="Number Date (short) 2" xfId="7861" xr:uid="{00000000-0005-0000-0000-0000731F0000}"/>
    <cellStyle name="Number Date (short) 3" xfId="7862" xr:uid="{00000000-0005-0000-0000-0000741F0000}"/>
    <cellStyle name="Number Date 10" xfId="7863" xr:uid="{00000000-0005-0000-0000-0000751F0000}"/>
    <cellStyle name="Number Date 11" xfId="7864" xr:uid="{00000000-0005-0000-0000-0000761F0000}"/>
    <cellStyle name="Number Date 12" xfId="7865" xr:uid="{00000000-0005-0000-0000-0000771F0000}"/>
    <cellStyle name="Number Date 13" xfId="7866" xr:uid="{00000000-0005-0000-0000-0000781F0000}"/>
    <cellStyle name="Number Date 14" xfId="7867" xr:uid="{00000000-0005-0000-0000-0000791F0000}"/>
    <cellStyle name="Number Date 15" xfId="7868" xr:uid="{00000000-0005-0000-0000-00007A1F0000}"/>
    <cellStyle name="Number Date 16" xfId="7869" xr:uid="{00000000-0005-0000-0000-00007B1F0000}"/>
    <cellStyle name="Number Date 17" xfId="7870" xr:uid="{00000000-0005-0000-0000-00007C1F0000}"/>
    <cellStyle name="Number Date 18" xfId="7871" xr:uid="{00000000-0005-0000-0000-00007D1F0000}"/>
    <cellStyle name="Number Date 19" xfId="14741" xr:uid="{00000000-0005-0000-0000-00007E1F0000}"/>
    <cellStyle name="Number Date 2" xfId="7872" xr:uid="{00000000-0005-0000-0000-00007F1F0000}"/>
    <cellStyle name="Number Date 3" xfId="7873" xr:uid="{00000000-0005-0000-0000-0000801F0000}"/>
    <cellStyle name="Number Date 4" xfId="7874" xr:uid="{00000000-0005-0000-0000-0000811F0000}"/>
    <cellStyle name="Number Date 5" xfId="7875" xr:uid="{00000000-0005-0000-0000-0000821F0000}"/>
    <cellStyle name="Number Date 6" xfId="7876" xr:uid="{00000000-0005-0000-0000-0000831F0000}"/>
    <cellStyle name="Number Date 7" xfId="7877" xr:uid="{00000000-0005-0000-0000-0000841F0000}"/>
    <cellStyle name="Number Date 8" xfId="7878" xr:uid="{00000000-0005-0000-0000-0000851F0000}"/>
    <cellStyle name="Number Date 9" xfId="7879" xr:uid="{00000000-0005-0000-0000-0000861F0000}"/>
    <cellStyle name="Number Date_Green" xfId="7880" xr:uid="{00000000-0005-0000-0000-0000871F0000}"/>
    <cellStyle name="Number II" xfId="7881" xr:uid="{00000000-0005-0000-0000-0000881F0000}"/>
    <cellStyle name="Number Integer" xfId="7882" xr:uid="{00000000-0005-0000-0000-0000891F0000}"/>
    <cellStyle name="Number Integer 2" xfId="7883" xr:uid="{00000000-0005-0000-0000-00008A1F0000}"/>
    <cellStyle name="Number Integer 3" xfId="7884" xr:uid="{00000000-0005-0000-0000-00008B1F0000}"/>
    <cellStyle name="number_KTR An-Abflug" xfId="7885" xr:uid="{00000000-0005-0000-0000-00008C1F0000}"/>
    <cellStyle name="OBI" xfId="7886" xr:uid="{00000000-0005-0000-0000-00008D1F0000}"/>
    <cellStyle name="Obliczenia" xfId="7887" xr:uid="{00000000-0005-0000-0000-00008E1F0000}"/>
    <cellStyle name="Obliczenia 2" xfId="7888" xr:uid="{00000000-0005-0000-0000-00008F1F0000}"/>
    <cellStyle name="Obliczenia 2 2" xfId="7889" xr:uid="{00000000-0005-0000-0000-0000901F0000}"/>
    <cellStyle name="Obliczenia 2 3" xfId="7890" xr:uid="{00000000-0005-0000-0000-0000911F0000}"/>
    <cellStyle name="Obliczenia 3" xfId="7891" xr:uid="{00000000-0005-0000-0000-0000921F0000}"/>
    <cellStyle name="Obliczenia 4" xfId="7892" xr:uid="{00000000-0005-0000-0000-0000931F0000}"/>
    <cellStyle name="Obliczenia 5" xfId="7893" xr:uid="{00000000-0005-0000-0000-0000941F0000}"/>
    <cellStyle name="Obliczenia 6" xfId="7894" xr:uid="{00000000-0005-0000-0000-0000951F0000}"/>
    <cellStyle name="Option" xfId="7895" xr:uid="{00000000-0005-0000-0000-0000961F0000}"/>
    <cellStyle name="OptionHeading" xfId="7896" xr:uid="{00000000-0005-0000-0000-0000971F0000}"/>
    <cellStyle name="Otsikko" xfId="7900" xr:uid="{00000000-0005-0000-0000-00009B1F0000}"/>
    <cellStyle name="Otsikko 1" xfId="7901" xr:uid="{00000000-0005-0000-0000-00009C1F0000}"/>
    <cellStyle name="Otsikko 2" xfId="7902" xr:uid="{00000000-0005-0000-0000-00009D1F0000}"/>
    <cellStyle name="Otsikko 3" xfId="7903" xr:uid="{00000000-0005-0000-0000-00009E1F0000}"/>
    <cellStyle name="Otsikko 4" xfId="7904" xr:uid="{00000000-0005-0000-0000-00009F1F0000}"/>
    <cellStyle name="Output" xfId="14664" xr:uid="{00000000-0005-0000-0000-0000A01F0000}"/>
    <cellStyle name="Output %" xfId="7905" xr:uid="{00000000-0005-0000-0000-0000A11F0000}"/>
    <cellStyle name="Output 10" xfId="7906" xr:uid="{00000000-0005-0000-0000-0000A21F0000}"/>
    <cellStyle name="Output 10 2" xfId="7907" xr:uid="{00000000-0005-0000-0000-0000A31F0000}"/>
    <cellStyle name="Output 10 2 2" xfId="7908" xr:uid="{00000000-0005-0000-0000-0000A41F0000}"/>
    <cellStyle name="Output 10 2 3" xfId="7909" xr:uid="{00000000-0005-0000-0000-0000A51F0000}"/>
    <cellStyle name="Output 10 2 4" xfId="7910" xr:uid="{00000000-0005-0000-0000-0000A61F0000}"/>
    <cellStyle name="Output 10 2 5" xfId="7911" xr:uid="{00000000-0005-0000-0000-0000A71F0000}"/>
    <cellStyle name="Output 10 3" xfId="7912" xr:uid="{00000000-0005-0000-0000-0000A81F0000}"/>
    <cellStyle name="Output 10 4" xfId="7913" xr:uid="{00000000-0005-0000-0000-0000A91F0000}"/>
    <cellStyle name="Output 10 5" xfId="7914" xr:uid="{00000000-0005-0000-0000-0000AA1F0000}"/>
    <cellStyle name="Output 10 6" xfId="7915" xr:uid="{00000000-0005-0000-0000-0000AB1F0000}"/>
    <cellStyle name="Output 11" xfId="7916" xr:uid="{00000000-0005-0000-0000-0000AC1F0000}"/>
    <cellStyle name="Output 11 2" xfId="7917" xr:uid="{00000000-0005-0000-0000-0000AD1F0000}"/>
    <cellStyle name="Output 11 2 2" xfId="7918" xr:uid="{00000000-0005-0000-0000-0000AE1F0000}"/>
    <cellStyle name="Output 11 2 3" xfId="7919" xr:uid="{00000000-0005-0000-0000-0000AF1F0000}"/>
    <cellStyle name="Output 11 2 4" xfId="7920" xr:uid="{00000000-0005-0000-0000-0000B01F0000}"/>
    <cellStyle name="Output 11 2 5" xfId="7921" xr:uid="{00000000-0005-0000-0000-0000B11F0000}"/>
    <cellStyle name="Output 11 3" xfId="7922" xr:uid="{00000000-0005-0000-0000-0000B21F0000}"/>
    <cellStyle name="Output 11 4" xfId="7923" xr:uid="{00000000-0005-0000-0000-0000B31F0000}"/>
    <cellStyle name="Output 11 5" xfId="7924" xr:uid="{00000000-0005-0000-0000-0000B41F0000}"/>
    <cellStyle name="Output 11 6" xfId="7925" xr:uid="{00000000-0005-0000-0000-0000B51F0000}"/>
    <cellStyle name="Output 12" xfId="7926" xr:uid="{00000000-0005-0000-0000-0000B61F0000}"/>
    <cellStyle name="Output 12 2" xfId="7927" xr:uid="{00000000-0005-0000-0000-0000B71F0000}"/>
    <cellStyle name="Output 12 2 2" xfId="7928" xr:uid="{00000000-0005-0000-0000-0000B81F0000}"/>
    <cellStyle name="Output 12 2 3" xfId="7929" xr:uid="{00000000-0005-0000-0000-0000B91F0000}"/>
    <cellStyle name="Output 12 2 4" xfId="7930" xr:uid="{00000000-0005-0000-0000-0000BA1F0000}"/>
    <cellStyle name="Output 12 2 5" xfId="7931" xr:uid="{00000000-0005-0000-0000-0000BB1F0000}"/>
    <cellStyle name="Output 12 3" xfId="7932" xr:uid="{00000000-0005-0000-0000-0000BC1F0000}"/>
    <cellStyle name="Output 12 4" xfId="7933" xr:uid="{00000000-0005-0000-0000-0000BD1F0000}"/>
    <cellStyle name="Output 12 5" xfId="7934" xr:uid="{00000000-0005-0000-0000-0000BE1F0000}"/>
    <cellStyle name="Output 12 6" xfId="7935" xr:uid="{00000000-0005-0000-0000-0000BF1F0000}"/>
    <cellStyle name="Output 13" xfId="7936" xr:uid="{00000000-0005-0000-0000-0000C01F0000}"/>
    <cellStyle name="Output 13 2" xfId="7937" xr:uid="{00000000-0005-0000-0000-0000C11F0000}"/>
    <cellStyle name="Output 13 2 2" xfId="7938" xr:uid="{00000000-0005-0000-0000-0000C21F0000}"/>
    <cellStyle name="Output 13 2 3" xfId="7939" xr:uid="{00000000-0005-0000-0000-0000C31F0000}"/>
    <cellStyle name="Output 13 2 4" xfId="7940" xr:uid="{00000000-0005-0000-0000-0000C41F0000}"/>
    <cellStyle name="Output 13 2 5" xfId="7941" xr:uid="{00000000-0005-0000-0000-0000C51F0000}"/>
    <cellStyle name="Output 13 3" xfId="7942" xr:uid="{00000000-0005-0000-0000-0000C61F0000}"/>
    <cellStyle name="Output 13 4" xfId="7943" xr:uid="{00000000-0005-0000-0000-0000C71F0000}"/>
    <cellStyle name="Output 13 5" xfId="7944" xr:uid="{00000000-0005-0000-0000-0000C81F0000}"/>
    <cellStyle name="Output 13 6" xfId="7945" xr:uid="{00000000-0005-0000-0000-0000C91F0000}"/>
    <cellStyle name="Output 14" xfId="7946" xr:uid="{00000000-0005-0000-0000-0000CA1F0000}"/>
    <cellStyle name="Output 14 2" xfId="7947" xr:uid="{00000000-0005-0000-0000-0000CB1F0000}"/>
    <cellStyle name="Output 14 2 2" xfId="7948" xr:uid="{00000000-0005-0000-0000-0000CC1F0000}"/>
    <cellStyle name="Output 14 2 3" xfId="7949" xr:uid="{00000000-0005-0000-0000-0000CD1F0000}"/>
    <cellStyle name="Output 14 2 4" xfId="7950" xr:uid="{00000000-0005-0000-0000-0000CE1F0000}"/>
    <cellStyle name="Output 14 2 5" xfId="7951" xr:uid="{00000000-0005-0000-0000-0000CF1F0000}"/>
    <cellStyle name="Output 14 3" xfId="7952" xr:uid="{00000000-0005-0000-0000-0000D01F0000}"/>
    <cellStyle name="Output 14 4" xfId="7953" xr:uid="{00000000-0005-0000-0000-0000D11F0000}"/>
    <cellStyle name="Output 14 5" xfId="7954" xr:uid="{00000000-0005-0000-0000-0000D21F0000}"/>
    <cellStyle name="Output 14 6" xfId="7955" xr:uid="{00000000-0005-0000-0000-0000D31F0000}"/>
    <cellStyle name="Output 15" xfId="7956" xr:uid="{00000000-0005-0000-0000-0000D41F0000}"/>
    <cellStyle name="Output 15 2" xfId="7957" xr:uid="{00000000-0005-0000-0000-0000D51F0000}"/>
    <cellStyle name="Output 15 2 2" xfId="7958" xr:uid="{00000000-0005-0000-0000-0000D61F0000}"/>
    <cellStyle name="Output 15 2 3" xfId="7959" xr:uid="{00000000-0005-0000-0000-0000D71F0000}"/>
    <cellStyle name="Output 15 2 4" xfId="7960" xr:uid="{00000000-0005-0000-0000-0000D81F0000}"/>
    <cellStyle name="Output 15 2 5" xfId="7961" xr:uid="{00000000-0005-0000-0000-0000D91F0000}"/>
    <cellStyle name="Output 15 3" xfId="7962" xr:uid="{00000000-0005-0000-0000-0000DA1F0000}"/>
    <cellStyle name="Output 15 4" xfId="7963" xr:uid="{00000000-0005-0000-0000-0000DB1F0000}"/>
    <cellStyle name="Output 15 5" xfId="7964" xr:uid="{00000000-0005-0000-0000-0000DC1F0000}"/>
    <cellStyle name="Output 15 6" xfId="7965" xr:uid="{00000000-0005-0000-0000-0000DD1F0000}"/>
    <cellStyle name="Output 16" xfId="7966" xr:uid="{00000000-0005-0000-0000-0000DE1F0000}"/>
    <cellStyle name="Output 16 2" xfId="7967" xr:uid="{00000000-0005-0000-0000-0000DF1F0000}"/>
    <cellStyle name="Output 16 2 2" xfId="7968" xr:uid="{00000000-0005-0000-0000-0000E01F0000}"/>
    <cellStyle name="Output 16 2 3" xfId="7969" xr:uid="{00000000-0005-0000-0000-0000E11F0000}"/>
    <cellStyle name="Output 16 2 4" xfId="7970" xr:uid="{00000000-0005-0000-0000-0000E21F0000}"/>
    <cellStyle name="Output 16 2 5" xfId="7971" xr:uid="{00000000-0005-0000-0000-0000E31F0000}"/>
    <cellStyle name="Output 16 3" xfId="7972" xr:uid="{00000000-0005-0000-0000-0000E41F0000}"/>
    <cellStyle name="Output 16 4" xfId="7973" xr:uid="{00000000-0005-0000-0000-0000E51F0000}"/>
    <cellStyle name="Output 16 5" xfId="7974" xr:uid="{00000000-0005-0000-0000-0000E61F0000}"/>
    <cellStyle name="Output 16 6" xfId="7975" xr:uid="{00000000-0005-0000-0000-0000E71F0000}"/>
    <cellStyle name="Output 17" xfId="7976" xr:uid="{00000000-0005-0000-0000-0000E81F0000}"/>
    <cellStyle name="Output 17 2" xfId="7977" xr:uid="{00000000-0005-0000-0000-0000E91F0000}"/>
    <cellStyle name="Output 17 3" xfId="7978" xr:uid="{00000000-0005-0000-0000-0000EA1F0000}"/>
    <cellStyle name="Output 17 4" xfId="7979" xr:uid="{00000000-0005-0000-0000-0000EB1F0000}"/>
    <cellStyle name="Output 17 5" xfId="7980" xr:uid="{00000000-0005-0000-0000-0000EC1F0000}"/>
    <cellStyle name="Output 18" xfId="7981" xr:uid="{00000000-0005-0000-0000-0000ED1F0000}"/>
    <cellStyle name="Output 18 2" xfId="7982" xr:uid="{00000000-0005-0000-0000-0000EE1F0000}"/>
    <cellStyle name="Output 18 3" xfId="7983" xr:uid="{00000000-0005-0000-0000-0000EF1F0000}"/>
    <cellStyle name="Output 18 4" xfId="7984" xr:uid="{00000000-0005-0000-0000-0000F01F0000}"/>
    <cellStyle name="Output 18 5" xfId="7985" xr:uid="{00000000-0005-0000-0000-0000F11F0000}"/>
    <cellStyle name="Output 19" xfId="7986" xr:uid="{00000000-0005-0000-0000-0000F21F0000}"/>
    <cellStyle name="Output 2" xfId="7987" xr:uid="{00000000-0005-0000-0000-0000F31F0000}"/>
    <cellStyle name="Output 2 2" xfId="7988" xr:uid="{00000000-0005-0000-0000-0000F41F0000}"/>
    <cellStyle name="Output 2 2 2" xfId="7989" xr:uid="{00000000-0005-0000-0000-0000F51F0000}"/>
    <cellStyle name="Output 2 2 3" xfId="7990" xr:uid="{00000000-0005-0000-0000-0000F61F0000}"/>
    <cellStyle name="Output 2 2 4" xfId="7991" xr:uid="{00000000-0005-0000-0000-0000F71F0000}"/>
    <cellStyle name="Output 2 2 5" xfId="7992" xr:uid="{00000000-0005-0000-0000-0000F81F0000}"/>
    <cellStyle name="Output 2 3" xfId="7993" xr:uid="{00000000-0005-0000-0000-0000F91F0000}"/>
    <cellStyle name="Output 2 3 2" xfId="7994" xr:uid="{00000000-0005-0000-0000-0000FA1F0000}"/>
    <cellStyle name="Output 2 3 3" xfId="7995" xr:uid="{00000000-0005-0000-0000-0000FB1F0000}"/>
    <cellStyle name="Output 2 4" xfId="7996" xr:uid="{00000000-0005-0000-0000-0000FC1F0000}"/>
    <cellStyle name="Output 2 5" xfId="7997" xr:uid="{00000000-0005-0000-0000-0000FD1F0000}"/>
    <cellStyle name="Output 2 6" xfId="7998" xr:uid="{00000000-0005-0000-0000-0000FE1F0000}"/>
    <cellStyle name="Output 2 7" xfId="7999" xr:uid="{00000000-0005-0000-0000-0000FF1F0000}"/>
    <cellStyle name="Output 2_KTR An-Abflug" xfId="14898" xr:uid="{00000000-0005-0000-0000-000000200000}"/>
    <cellStyle name="Output 20" xfId="8000" xr:uid="{00000000-0005-0000-0000-000001200000}"/>
    <cellStyle name="Output 21" xfId="8001" xr:uid="{00000000-0005-0000-0000-000002200000}"/>
    <cellStyle name="Output 22" xfId="8002" xr:uid="{00000000-0005-0000-0000-000003200000}"/>
    <cellStyle name="Output 23" xfId="8003" xr:uid="{00000000-0005-0000-0000-000004200000}"/>
    <cellStyle name="Output 24" xfId="8004" xr:uid="{00000000-0005-0000-0000-000005200000}"/>
    <cellStyle name="Output 3" xfId="8005" xr:uid="{00000000-0005-0000-0000-000006200000}"/>
    <cellStyle name="Output 3 2" xfId="8006" xr:uid="{00000000-0005-0000-0000-000007200000}"/>
    <cellStyle name="Output 3 2 2" xfId="8007" xr:uid="{00000000-0005-0000-0000-000008200000}"/>
    <cellStyle name="Output 3 2 3" xfId="8008" xr:uid="{00000000-0005-0000-0000-000009200000}"/>
    <cellStyle name="Output 3 2 4" xfId="8009" xr:uid="{00000000-0005-0000-0000-00000A200000}"/>
    <cellStyle name="Output 3 2 5" xfId="8010" xr:uid="{00000000-0005-0000-0000-00000B200000}"/>
    <cellStyle name="Output 3 3" xfId="8011" xr:uid="{00000000-0005-0000-0000-00000C200000}"/>
    <cellStyle name="Output 3 4" xfId="8012" xr:uid="{00000000-0005-0000-0000-00000D200000}"/>
    <cellStyle name="Output 3 5" xfId="8013" xr:uid="{00000000-0005-0000-0000-00000E200000}"/>
    <cellStyle name="Output 3 6" xfId="8014" xr:uid="{00000000-0005-0000-0000-00000F200000}"/>
    <cellStyle name="Output 4" xfId="8015" xr:uid="{00000000-0005-0000-0000-000010200000}"/>
    <cellStyle name="Output 4 2" xfId="8016" xr:uid="{00000000-0005-0000-0000-000011200000}"/>
    <cellStyle name="Output 4 2 2" xfId="8017" xr:uid="{00000000-0005-0000-0000-000012200000}"/>
    <cellStyle name="Output 4 2 3" xfId="8018" xr:uid="{00000000-0005-0000-0000-000013200000}"/>
    <cellStyle name="Output 4 2 4" xfId="8019" xr:uid="{00000000-0005-0000-0000-000014200000}"/>
    <cellStyle name="Output 4 2 5" xfId="8020" xr:uid="{00000000-0005-0000-0000-000015200000}"/>
    <cellStyle name="Output 4 3" xfId="8021" xr:uid="{00000000-0005-0000-0000-000016200000}"/>
    <cellStyle name="Output 4 4" xfId="8022" xr:uid="{00000000-0005-0000-0000-000017200000}"/>
    <cellStyle name="Output 4 5" xfId="8023" xr:uid="{00000000-0005-0000-0000-000018200000}"/>
    <cellStyle name="Output 4 6" xfId="8024" xr:uid="{00000000-0005-0000-0000-000019200000}"/>
    <cellStyle name="Output 5" xfId="8025" xr:uid="{00000000-0005-0000-0000-00001A200000}"/>
    <cellStyle name="Output 5 2" xfId="8026" xr:uid="{00000000-0005-0000-0000-00001B200000}"/>
    <cellStyle name="Output 5 2 2" xfId="8027" xr:uid="{00000000-0005-0000-0000-00001C200000}"/>
    <cellStyle name="Output 5 2 3" xfId="8028" xr:uid="{00000000-0005-0000-0000-00001D200000}"/>
    <cellStyle name="Output 5 2 4" xfId="8029" xr:uid="{00000000-0005-0000-0000-00001E200000}"/>
    <cellStyle name="Output 5 2 5" xfId="8030" xr:uid="{00000000-0005-0000-0000-00001F200000}"/>
    <cellStyle name="Output 5 3" xfId="8031" xr:uid="{00000000-0005-0000-0000-000020200000}"/>
    <cellStyle name="Output 5 4" xfId="8032" xr:uid="{00000000-0005-0000-0000-000021200000}"/>
    <cellStyle name="Output 5 5" xfId="8033" xr:uid="{00000000-0005-0000-0000-000022200000}"/>
    <cellStyle name="Output 5 6" xfId="8034" xr:uid="{00000000-0005-0000-0000-000023200000}"/>
    <cellStyle name="Output 6" xfId="8035" xr:uid="{00000000-0005-0000-0000-000024200000}"/>
    <cellStyle name="Output 6 2" xfId="8036" xr:uid="{00000000-0005-0000-0000-000025200000}"/>
    <cellStyle name="Output 6 2 2" xfId="8037" xr:uid="{00000000-0005-0000-0000-000026200000}"/>
    <cellStyle name="Output 6 2 3" xfId="8038" xr:uid="{00000000-0005-0000-0000-000027200000}"/>
    <cellStyle name="Output 6 2 4" xfId="8039" xr:uid="{00000000-0005-0000-0000-000028200000}"/>
    <cellStyle name="Output 6 2 5" xfId="8040" xr:uid="{00000000-0005-0000-0000-000029200000}"/>
    <cellStyle name="Output 6 3" xfId="8041" xr:uid="{00000000-0005-0000-0000-00002A200000}"/>
    <cellStyle name="Output 6 4" xfId="8042" xr:uid="{00000000-0005-0000-0000-00002B200000}"/>
    <cellStyle name="Output 6 5" xfId="8043" xr:uid="{00000000-0005-0000-0000-00002C200000}"/>
    <cellStyle name="Output 6 6" xfId="8044" xr:uid="{00000000-0005-0000-0000-00002D200000}"/>
    <cellStyle name="Output 7" xfId="8045" xr:uid="{00000000-0005-0000-0000-00002E200000}"/>
    <cellStyle name="Output 7 2" xfId="8046" xr:uid="{00000000-0005-0000-0000-00002F200000}"/>
    <cellStyle name="Output 7 2 2" xfId="8047" xr:uid="{00000000-0005-0000-0000-000030200000}"/>
    <cellStyle name="Output 7 2 3" xfId="8048" xr:uid="{00000000-0005-0000-0000-000031200000}"/>
    <cellStyle name="Output 7 2 4" xfId="8049" xr:uid="{00000000-0005-0000-0000-000032200000}"/>
    <cellStyle name="Output 7 2 5" xfId="8050" xr:uid="{00000000-0005-0000-0000-000033200000}"/>
    <cellStyle name="Output 7 3" xfId="8051" xr:uid="{00000000-0005-0000-0000-000034200000}"/>
    <cellStyle name="Output 7 4" xfId="8052" xr:uid="{00000000-0005-0000-0000-000035200000}"/>
    <cellStyle name="Output 7 5" xfId="8053" xr:uid="{00000000-0005-0000-0000-000036200000}"/>
    <cellStyle name="Output 7 6" xfId="8054" xr:uid="{00000000-0005-0000-0000-000037200000}"/>
    <cellStyle name="Output 8" xfId="8055" xr:uid="{00000000-0005-0000-0000-000038200000}"/>
    <cellStyle name="Output 8 2" xfId="8056" xr:uid="{00000000-0005-0000-0000-000039200000}"/>
    <cellStyle name="Output 8 2 2" xfId="8057" xr:uid="{00000000-0005-0000-0000-00003A200000}"/>
    <cellStyle name="Output 8 2 3" xfId="8058" xr:uid="{00000000-0005-0000-0000-00003B200000}"/>
    <cellStyle name="Output 8 2 4" xfId="8059" xr:uid="{00000000-0005-0000-0000-00003C200000}"/>
    <cellStyle name="Output 8 2 5" xfId="8060" xr:uid="{00000000-0005-0000-0000-00003D200000}"/>
    <cellStyle name="Output 8 3" xfId="8061" xr:uid="{00000000-0005-0000-0000-00003E200000}"/>
    <cellStyle name="Output 8 4" xfId="8062" xr:uid="{00000000-0005-0000-0000-00003F200000}"/>
    <cellStyle name="Output 8 5" xfId="8063" xr:uid="{00000000-0005-0000-0000-000040200000}"/>
    <cellStyle name="Output 8 6" xfId="8064" xr:uid="{00000000-0005-0000-0000-000041200000}"/>
    <cellStyle name="Output 9" xfId="8065" xr:uid="{00000000-0005-0000-0000-000042200000}"/>
    <cellStyle name="Output 9 2" xfId="8066" xr:uid="{00000000-0005-0000-0000-000043200000}"/>
    <cellStyle name="Output 9 2 2" xfId="8067" xr:uid="{00000000-0005-0000-0000-000044200000}"/>
    <cellStyle name="Output 9 2 3" xfId="8068" xr:uid="{00000000-0005-0000-0000-000045200000}"/>
    <cellStyle name="Output 9 2 4" xfId="8069" xr:uid="{00000000-0005-0000-0000-000046200000}"/>
    <cellStyle name="Output 9 2 5" xfId="8070" xr:uid="{00000000-0005-0000-0000-000047200000}"/>
    <cellStyle name="Output 9 3" xfId="8071" xr:uid="{00000000-0005-0000-0000-000048200000}"/>
    <cellStyle name="Output 9 4" xfId="8072" xr:uid="{00000000-0005-0000-0000-000049200000}"/>
    <cellStyle name="Output 9 5" xfId="8073" xr:uid="{00000000-0005-0000-0000-00004A200000}"/>
    <cellStyle name="Output 9 6" xfId="8074" xr:uid="{00000000-0005-0000-0000-00004B200000}"/>
    <cellStyle name="Output_KTR An-Abflug" xfId="14687" xr:uid="{00000000-0005-0000-0000-00004C200000}"/>
    <cellStyle name="Overskrift 1" xfId="8075" xr:uid="{00000000-0005-0000-0000-00004D200000}"/>
    <cellStyle name="Overskrift 2" xfId="8076" xr:uid="{00000000-0005-0000-0000-00004E200000}"/>
    <cellStyle name="Overskrift 3" xfId="8077" xr:uid="{00000000-0005-0000-0000-00004F200000}"/>
    <cellStyle name="Overskrift 4" xfId="8078" xr:uid="{00000000-0005-0000-0000-000050200000}"/>
    <cellStyle name="Overwrite" xfId="8079" xr:uid="{00000000-0005-0000-0000-000051200000}"/>
    <cellStyle name="Page Heading Large" xfId="8080" xr:uid="{00000000-0005-0000-0000-000052200000}"/>
    <cellStyle name="Page Heading Small" xfId="8081" xr:uid="{00000000-0005-0000-0000-000053200000}"/>
    <cellStyle name="Page Number" xfId="8082" xr:uid="{00000000-0005-0000-0000-000054200000}"/>
    <cellStyle name="Par dŽfaut" xfId="8083" xr:uid="{00000000-0005-0000-0000-000055200000}"/>
    <cellStyle name="Par dŽfaut 2" xfId="8084" xr:uid="{00000000-0005-0000-0000-000056200000}"/>
    <cellStyle name="Par dŽfaut 3" xfId="8085" xr:uid="{00000000-0005-0000-0000-000057200000}"/>
    <cellStyle name="Par dŽfaut 3 2" xfId="14873" xr:uid="{00000000-0005-0000-0000-000058200000}"/>
    <cellStyle name="paragraphe" xfId="8086" xr:uid="{00000000-0005-0000-0000-000059200000}"/>
    <cellStyle name="Paryškinimas 1" xfId="8087" xr:uid="{00000000-0005-0000-0000-00005A200000}"/>
    <cellStyle name="Paryškinimas 2" xfId="8088" xr:uid="{00000000-0005-0000-0000-00005B200000}"/>
    <cellStyle name="Paryškinimas 3" xfId="8089" xr:uid="{00000000-0005-0000-0000-00005C200000}"/>
    <cellStyle name="Paryškinimas 4" xfId="8090" xr:uid="{00000000-0005-0000-0000-00005D200000}"/>
    <cellStyle name="Paryškinimas 5" xfId="8091" xr:uid="{00000000-0005-0000-0000-00005E200000}"/>
    <cellStyle name="Paryškinimas 6" xfId="8092" xr:uid="{00000000-0005-0000-0000-00005F200000}"/>
    <cellStyle name="Pastaba" xfId="8093" xr:uid="{00000000-0005-0000-0000-000060200000}"/>
    <cellStyle name="Pastaba 10" xfId="8094" xr:uid="{00000000-0005-0000-0000-000061200000}"/>
    <cellStyle name="Pastaba 10 2" xfId="8095" xr:uid="{00000000-0005-0000-0000-000062200000}"/>
    <cellStyle name="Pastaba 10 2 2" xfId="8096" xr:uid="{00000000-0005-0000-0000-000063200000}"/>
    <cellStyle name="Pastaba 10 2 3" xfId="8097" xr:uid="{00000000-0005-0000-0000-000064200000}"/>
    <cellStyle name="Pastaba 10 2 4" xfId="8098" xr:uid="{00000000-0005-0000-0000-000065200000}"/>
    <cellStyle name="Pastaba 10 2 5" xfId="8099" xr:uid="{00000000-0005-0000-0000-000066200000}"/>
    <cellStyle name="Pastaba 10 3" xfId="8100" xr:uid="{00000000-0005-0000-0000-000067200000}"/>
    <cellStyle name="Pastaba 10 4" xfId="8101" xr:uid="{00000000-0005-0000-0000-000068200000}"/>
    <cellStyle name="Pastaba 10 5" xfId="8102" xr:uid="{00000000-0005-0000-0000-000069200000}"/>
    <cellStyle name="Pastaba 10 6" xfId="8103" xr:uid="{00000000-0005-0000-0000-00006A200000}"/>
    <cellStyle name="Pastaba 11" xfId="8104" xr:uid="{00000000-0005-0000-0000-00006B200000}"/>
    <cellStyle name="Pastaba 11 2" xfId="8105" xr:uid="{00000000-0005-0000-0000-00006C200000}"/>
    <cellStyle name="Pastaba 11 2 2" xfId="8106" xr:uid="{00000000-0005-0000-0000-00006D200000}"/>
    <cellStyle name="Pastaba 11 2 3" xfId="8107" xr:uid="{00000000-0005-0000-0000-00006E200000}"/>
    <cellStyle name="Pastaba 11 2 4" xfId="8108" xr:uid="{00000000-0005-0000-0000-00006F200000}"/>
    <cellStyle name="Pastaba 11 2 5" xfId="8109" xr:uid="{00000000-0005-0000-0000-000070200000}"/>
    <cellStyle name="Pastaba 11 3" xfId="8110" xr:uid="{00000000-0005-0000-0000-000071200000}"/>
    <cellStyle name="Pastaba 11 4" xfId="8111" xr:uid="{00000000-0005-0000-0000-000072200000}"/>
    <cellStyle name="Pastaba 11 5" xfId="8112" xr:uid="{00000000-0005-0000-0000-000073200000}"/>
    <cellStyle name="Pastaba 11 6" xfId="8113" xr:uid="{00000000-0005-0000-0000-000074200000}"/>
    <cellStyle name="Pastaba 12" xfId="8114" xr:uid="{00000000-0005-0000-0000-000075200000}"/>
    <cellStyle name="Pastaba 12 2" xfId="8115" xr:uid="{00000000-0005-0000-0000-000076200000}"/>
    <cellStyle name="Pastaba 12 2 2" xfId="8116" xr:uid="{00000000-0005-0000-0000-000077200000}"/>
    <cellStyle name="Pastaba 12 2 3" xfId="8117" xr:uid="{00000000-0005-0000-0000-000078200000}"/>
    <cellStyle name="Pastaba 12 2 4" xfId="8118" xr:uid="{00000000-0005-0000-0000-000079200000}"/>
    <cellStyle name="Pastaba 12 2 5" xfId="8119" xr:uid="{00000000-0005-0000-0000-00007A200000}"/>
    <cellStyle name="Pastaba 12 3" xfId="8120" xr:uid="{00000000-0005-0000-0000-00007B200000}"/>
    <cellStyle name="Pastaba 12 4" xfId="8121" xr:uid="{00000000-0005-0000-0000-00007C200000}"/>
    <cellStyle name="Pastaba 12 5" xfId="8122" xr:uid="{00000000-0005-0000-0000-00007D200000}"/>
    <cellStyle name="Pastaba 12 6" xfId="8123" xr:uid="{00000000-0005-0000-0000-00007E200000}"/>
    <cellStyle name="Pastaba 13" xfId="8124" xr:uid="{00000000-0005-0000-0000-00007F200000}"/>
    <cellStyle name="Pastaba 13 2" xfId="8125" xr:uid="{00000000-0005-0000-0000-000080200000}"/>
    <cellStyle name="Pastaba 13 2 2" xfId="8126" xr:uid="{00000000-0005-0000-0000-000081200000}"/>
    <cellStyle name="Pastaba 13 2 3" xfId="8127" xr:uid="{00000000-0005-0000-0000-000082200000}"/>
    <cellStyle name="Pastaba 13 2 4" xfId="8128" xr:uid="{00000000-0005-0000-0000-000083200000}"/>
    <cellStyle name="Pastaba 13 2 5" xfId="8129" xr:uid="{00000000-0005-0000-0000-000084200000}"/>
    <cellStyle name="Pastaba 13 3" xfId="8130" xr:uid="{00000000-0005-0000-0000-000085200000}"/>
    <cellStyle name="Pastaba 13 4" xfId="8131" xr:uid="{00000000-0005-0000-0000-000086200000}"/>
    <cellStyle name="Pastaba 13 5" xfId="8132" xr:uid="{00000000-0005-0000-0000-000087200000}"/>
    <cellStyle name="Pastaba 13 6" xfId="8133" xr:uid="{00000000-0005-0000-0000-000088200000}"/>
    <cellStyle name="Pastaba 14" xfId="8134" xr:uid="{00000000-0005-0000-0000-000089200000}"/>
    <cellStyle name="Pastaba 14 2" xfId="8135" xr:uid="{00000000-0005-0000-0000-00008A200000}"/>
    <cellStyle name="Pastaba 14 2 2" xfId="8136" xr:uid="{00000000-0005-0000-0000-00008B200000}"/>
    <cellStyle name="Pastaba 14 2 3" xfId="8137" xr:uid="{00000000-0005-0000-0000-00008C200000}"/>
    <cellStyle name="Pastaba 14 2 4" xfId="8138" xr:uid="{00000000-0005-0000-0000-00008D200000}"/>
    <cellStyle name="Pastaba 14 2 5" xfId="8139" xr:uid="{00000000-0005-0000-0000-00008E200000}"/>
    <cellStyle name="Pastaba 14 3" xfId="8140" xr:uid="{00000000-0005-0000-0000-00008F200000}"/>
    <cellStyle name="Pastaba 14 4" xfId="8141" xr:uid="{00000000-0005-0000-0000-000090200000}"/>
    <cellStyle name="Pastaba 14 5" xfId="8142" xr:uid="{00000000-0005-0000-0000-000091200000}"/>
    <cellStyle name="Pastaba 14 6" xfId="8143" xr:uid="{00000000-0005-0000-0000-000092200000}"/>
    <cellStyle name="Pastaba 15" xfId="8144" xr:uid="{00000000-0005-0000-0000-000093200000}"/>
    <cellStyle name="Pastaba 15 2" xfId="8145" xr:uid="{00000000-0005-0000-0000-000094200000}"/>
    <cellStyle name="Pastaba 15 2 2" xfId="8146" xr:uid="{00000000-0005-0000-0000-000095200000}"/>
    <cellStyle name="Pastaba 15 2 3" xfId="8147" xr:uid="{00000000-0005-0000-0000-000096200000}"/>
    <cellStyle name="Pastaba 15 2 4" xfId="8148" xr:uid="{00000000-0005-0000-0000-000097200000}"/>
    <cellStyle name="Pastaba 15 2 5" xfId="8149" xr:uid="{00000000-0005-0000-0000-000098200000}"/>
    <cellStyle name="Pastaba 15 3" xfId="8150" xr:uid="{00000000-0005-0000-0000-000099200000}"/>
    <cellStyle name="Pastaba 15 4" xfId="8151" xr:uid="{00000000-0005-0000-0000-00009A200000}"/>
    <cellStyle name="Pastaba 15 5" xfId="8152" xr:uid="{00000000-0005-0000-0000-00009B200000}"/>
    <cellStyle name="Pastaba 15 6" xfId="8153" xr:uid="{00000000-0005-0000-0000-00009C200000}"/>
    <cellStyle name="Pastaba 16" xfId="8154" xr:uid="{00000000-0005-0000-0000-00009D200000}"/>
    <cellStyle name="Pastaba 16 2" xfId="8155" xr:uid="{00000000-0005-0000-0000-00009E200000}"/>
    <cellStyle name="Pastaba 16 2 2" xfId="8156" xr:uid="{00000000-0005-0000-0000-00009F200000}"/>
    <cellStyle name="Pastaba 16 2 3" xfId="8157" xr:uid="{00000000-0005-0000-0000-0000A0200000}"/>
    <cellStyle name="Pastaba 16 2 4" xfId="8158" xr:uid="{00000000-0005-0000-0000-0000A1200000}"/>
    <cellStyle name="Pastaba 16 2 5" xfId="8159" xr:uid="{00000000-0005-0000-0000-0000A2200000}"/>
    <cellStyle name="Pastaba 16 3" xfId="8160" xr:uid="{00000000-0005-0000-0000-0000A3200000}"/>
    <cellStyle name="Pastaba 16 4" xfId="8161" xr:uid="{00000000-0005-0000-0000-0000A4200000}"/>
    <cellStyle name="Pastaba 16 5" xfId="8162" xr:uid="{00000000-0005-0000-0000-0000A5200000}"/>
    <cellStyle name="Pastaba 16 6" xfId="8163" xr:uid="{00000000-0005-0000-0000-0000A6200000}"/>
    <cellStyle name="Pastaba 17" xfId="8164" xr:uid="{00000000-0005-0000-0000-0000A7200000}"/>
    <cellStyle name="Pastaba 17 2" xfId="8165" xr:uid="{00000000-0005-0000-0000-0000A8200000}"/>
    <cellStyle name="Pastaba 17 2 2" xfId="8166" xr:uid="{00000000-0005-0000-0000-0000A9200000}"/>
    <cellStyle name="Pastaba 17 2 3" xfId="8167" xr:uid="{00000000-0005-0000-0000-0000AA200000}"/>
    <cellStyle name="Pastaba 17 2 4" xfId="8168" xr:uid="{00000000-0005-0000-0000-0000AB200000}"/>
    <cellStyle name="Pastaba 17 2 5" xfId="8169" xr:uid="{00000000-0005-0000-0000-0000AC200000}"/>
    <cellStyle name="Pastaba 17 3" xfId="8170" xr:uid="{00000000-0005-0000-0000-0000AD200000}"/>
    <cellStyle name="Pastaba 17 4" xfId="8171" xr:uid="{00000000-0005-0000-0000-0000AE200000}"/>
    <cellStyle name="Pastaba 17 5" xfId="8172" xr:uid="{00000000-0005-0000-0000-0000AF200000}"/>
    <cellStyle name="Pastaba 17 6" xfId="8173" xr:uid="{00000000-0005-0000-0000-0000B0200000}"/>
    <cellStyle name="Pastaba 18" xfId="8174" xr:uid="{00000000-0005-0000-0000-0000B1200000}"/>
    <cellStyle name="Pastaba 18 2" xfId="8175" xr:uid="{00000000-0005-0000-0000-0000B2200000}"/>
    <cellStyle name="Pastaba 18 2 2" xfId="8176" xr:uid="{00000000-0005-0000-0000-0000B3200000}"/>
    <cellStyle name="Pastaba 18 2 3" xfId="8177" xr:uid="{00000000-0005-0000-0000-0000B4200000}"/>
    <cellStyle name="Pastaba 18 2 4" xfId="8178" xr:uid="{00000000-0005-0000-0000-0000B5200000}"/>
    <cellStyle name="Pastaba 18 2 5" xfId="8179" xr:uid="{00000000-0005-0000-0000-0000B6200000}"/>
    <cellStyle name="Pastaba 18 3" xfId="8180" xr:uid="{00000000-0005-0000-0000-0000B7200000}"/>
    <cellStyle name="Pastaba 18 4" xfId="8181" xr:uid="{00000000-0005-0000-0000-0000B8200000}"/>
    <cellStyle name="Pastaba 18 5" xfId="8182" xr:uid="{00000000-0005-0000-0000-0000B9200000}"/>
    <cellStyle name="Pastaba 18 6" xfId="8183" xr:uid="{00000000-0005-0000-0000-0000BA200000}"/>
    <cellStyle name="Pastaba 19" xfId="8184" xr:uid="{00000000-0005-0000-0000-0000BB200000}"/>
    <cellStyle name="Pastaba 19 2" xfId="8185" xr:uid="{00000000-0005-0000-0000-0000BC200000}"/>
    <cellStyle name="Pastaba 19 3" xfId="8186" xr:uid="{00000000-0005-0000-0000-0000BD200000}"/>
    <cellStyle name="Pastaba 19 4" xfId="8187" xr:uid="{00000000-0005-0000-0000-0000BE200000}"/>
    <cellStyle name="Pastaba 19 5" xfId="8188" xr:uid="{00000000-0005-0000-0000-0000BF200000}"/>
    <cellStyle name="Pastaba 2" xfId="8189" xr:uid="{00000000-0005-0000-0000-0000C0200000}"/>
    <cellStyle name="Pastaba 2 2" xfId="8190" xr:uid="{00000000-0005-0000-0000-0000C1200000}"/>
    <cellStyle name="Pastaba 2 2 2" xfId="8191" xr:uid="{00000000-0005-0000-0000-0000C2200000}"/>
    <cellStyle name="Pastaba 2 2 3" xfId="8192" xr:uid="{00000000-0005-0000-0000-0000C3200000}"/>
    <cellStyle name="Pastaba 2 2 4" xfId="8193" xr:uid="{00000000-0005-0000-0000-0000C4200000}"/>
    <cellStyle name="Pastaba 2 2 5" xfId="8194" xr:uid="{00000000-0005-0000-0000-0000C5200000}"/>
    <cellStyle name="Pastaba 2 3" xfId="8195" xr:uid="{00000000-0005-0000-0000-0000C6200000}"/>
    <cellStyle name="Pastaba 2 3 2" xfId="8196" xr:uid="{00000000-0005-0000-0000-0000C7200000}"/>
    <cellStyle name="Pastaba 2 3 3" xfId="8197" xr:uid="{00000000-0005-0000-0000-0000C8200000}"/>
    <cellStyle name="Pastaba 2 4" xfId="8198" xr:uid="{00000000-0005-0000-0000-0000C9200000}"/>
    <cellStyle name="Pastaba 2 5" xfId="8199" xr:uid="{00000000-0005-0000-0000-0000CA200000}"/>
    <cellStyle name="Pastaba 2 6" xfId="8200" xr:uid="{00000000-0005-0000-0000-0000CB200000}"/>
    <cellStyle name="Pastaba 2 7" xfId="8201" xr:uid="{00000000-0005-0000-0000-0000CC200000}"/>
    <cellStyle name="Pastaba 20" xfId="8202" xr:uid="{00000000-0005-0000-0000-0000CD200000}"/>
    <cellStyle name="Pastaba 20 2" xfId="8203" xr:uid="{00000000-0005-0000-0000-0000CE200000}"/>
    <cellStyle name="Pastaba 20 3" xfId="8204" xr:uid="{00000000-0005-0000-0000-0000CF200000}"/>
    <cellStyle name="Pastaba 21" xfId="8205" xr:uid="{00000000-0005-0000-0000-0000D0200000}"/>
    <cellStyle name="Pastaba 22" xfId="8206" xr:uid="{00000000-0005-0000-0000-0000D1200000}"/>
    <cellStyle name="Pastaba 23" xfId="8207" xr:uid="{00000000-0005-0000-0000-0000D2200000}"/>
    <cellStyle name="Pastaba 24" xfId="8208" xr:uid="{00000000-0005-0000-0000-0000D3200000}"/>
    <cellStyle name="Pastaba 3" xfId="8209" xr:uid="{00000000-0005-0000-0000-0000D4200000}"/>
    <cellStyle name="Pastaba 3 2" xfId="8210" xr:uid="{00000000-0005-0000-0000-0000D5200000}"/>
    <cellStyle name="Pastaba 3 2 2" xfId="8211" xr:uid="{00000000-0005-0000-0000-0000D6200000}"/>
    <cellStyle name="Pastaba 3 2 3" xfId="8212" xr:uid="{00000000-0005-0000-0000-0000D7200000}"/>
    <cellStyle name="Pastaba 3 2 4" xfId="8213" xr:uid="{00000000-0005-0000-0000-0000D8200000}"/>
    <cellStyle name="Pastaba 3 2 5" xfId="8214" xr:uid="{00000000-0005-0000-0000-0000D9200000}"/>
    <cellStyle name="Pastaba 3 3" xfId="8215" xr:uid="{00000000-0005-0000-0000-0000DA200000}"/>
    <cellStyle name="Pastaba 3 4" xfId="8216" xr:uid="{00000000-0005-0000-0000-0000DB200000}"/>
    <cellStyle name="Pastaba 3 5" xfId="8217" xr:uid="{00000000-0005-0000-0000-0000DC200000}"/>
    <cellStyle name="Pastaba 3 6" xfId="8218" xr:uid="{00000000-0005-0000-0000-0000DD200000}"/>
    <cellStyle name="Pastaba 4" xfId="8219" xr:uid="{00000000-0005-0000-0000-0000DE200000}"/>
    <cellStyle name="Pastaba 4 2" xfId="8220" xr:uid="{00000000-0005-0000-0000-0000DF200000}"/>
    <cellStyle name="Pastaba 4 2 2" xfId="8221" xr:uid="{00000000-0005-0000-0000-0000E0200000}"/>
    <cellStyle name="Pastaba 4 2 3" xfId="8222" xr:uid="{00000000-0005-0000-0000-0000E1200000}"/>
    <cellStyle name="Pastaba 4 2 4" xfId="8223" xr:uid="{00000000-0005-0000-0000-0000E2200000}"/>
    <cellStyle name="Pastaba 4 2 5" xfId="8224" xr:uid="{00000000-0005-0000-0000-0000E3200000}"/>
    <cellStyle name="Pastaba 4 3" xfId="8225" xr:uid="{00000000-0005-0000-0000-0000E4200000}"/>
    <cellStyle name="Pastaba 4 4" xfId="8226" xr:uid="{00000000-0005-0000-0000-0000E5200000}"/>
    <cellStyle name="Pastaba 4 5" xfId="8227" xr:uid="{00000000-0005-0000-0000-0000E6200000}"/>
    <cellStyle name="Pastaba 4 6" xfId="8228" xr:uid="{00000000-0005-0000-0000-0000E7200000}"/>
    <cellStyle name="Pastaba 5" xfId="8229" xr:uid="{00000000-0005-0000-0000-0000E8200000}"/>
    <cellStyle name="Pastaba 5 2" xfId="8230" xr:uid="{00000000-0005-0000-0000-0000E9200000}"/>
    <cellStyle name="Pastaba 5 2 2" xfId="8231" xr:uid="{00000000-0005-0000-0000-0000EA200000}"/>
    <cellStyle name="Pastaba 5 2 3" xfId="8232" xr:uid="{00000000-0005-0000-0000-0000EB200000}"/>
    <cellStyle name="Pastaba 5 2 4" xfId="8233" xr:uid="{00000000-0005-0000-0000-0000EC200000}"/>
    <cellStyle name="Pastaba 5 2 5" xfId="8234" xr:uid="{00000000-0005-0000-0000-0000ED200000}"/>
    <cellStyle name="Pastaba 5 3" xfId="8235" xr:uid="{00000000-0005-0000-0000-0000EE200000}"/>
    <cellStyle name="Pastaba 5 4" xfId="8236" xr:uid="{00000000-0005-0000-0000-0000EF200000}"/>
    <cellStyle name="Pastaba 5 5" xfId="8237" xr:uid="{00000000-0005-0000-0000-0000F0200000}"/>
    <cellStyle name="Pastaba 5 6" xfId="8238" xr:uid="{00000000-0005-0000-0000-0000F1200000}"/>
    <cellStyle name="Pastaba 6" xfId="8239" xr:uid="{00000000-0005-0000-0000-0000F2200000}"/>
    <cellStyle name="Pastaba 6 2" xfId="8240" xr:uid="{00000000-0005-0000-0000-0000F3200000}"/>
    <cellStyle name="Pastaba 6 2 2" xfId="8241" xr:uid="{00000000-0005-0000-0000-0000F4200000}"/>
    <cellStyle name="Pastaba 6 2 3" xfId="8242" xr:uid="{00000000-0005-0000-0000-0000F5200000}"/>
    <cellStyle name="Pastaba 6 2 4" xfId="8243" xr:uid="{00000000-0005-0000-0000-0000F6200000}"/>
    <cellStyle name="Pastaba 6 2 5" xfId="8244" xr:uid="{00000000-0005-0000-0000-0000F7200000}"/>
    <cellStyle name="Pastaba 6 3" xfId="8245" xr:uid="{00000000-0005-0000-0000-0000F8200000}"/>
    <cellStyle name="Pastaba 6 4" xfId="8246" xr:uid="{00000000-0005-0000-0000-0000F9200000}"/>
    <cellStyle name="Pastaba 6 5" xfId="8247" xr:uid="{00000000-0005-0000-0000-0000FA200000}"/>
    <cellStyle name="Pastaba 6 6" xfId="8248" xr:uid="{00000000-0005-0000-0000-0000FB200000}"/>
    <cellStyle name="Pastaba 7" xfId="8249" xr:uid="{00000000-0005-0000-0000-0000FC200000}"/>
    <cellStyle name="Pastaba 7 2" xfId="8250" xr:uid="{00000000-0005-0000-0000-0000FD200000}"/>
    <cellStyle name="Pastaba 7 2 2" xfId="8251" xr:uid="{00000000-0005-0000-0000-0000FE200000}"/>
    <cellStyle name="Pastaba 7 2 3" xfId="8252" xr:uid="{00000000-0005-0000-0000-0000FF200000}"/>
    <cellStyle name="Pastaba 7 2 4" xfId="8253" xr:uid="{00000000-0005-0000-0000-000000210000}"/>
    <cellStyle name="Pastaba 7 2 5" xfId="8254" xr:uid="{00000000-0005-0000-0000-000001210000}"/>
    <cellStyle name="Pastaba 7 3" xfId="8255" xr:uid="{00000000-0005-0000-0000-000002210000}"/>
    <cellStyle name="Pastaba 7 4" xfId="8256" xr:uid="{00000000-0005-0000-0000-000003210000}"/>
    <cellStyle name="Pastaba 7 5" xfId="8257" xr:uid="{00000000-0005-0000-0000-000004210000}"/>
    <cellStyle name="Pastaba 7 6" xfId="8258" xr:uid="{00000000-0005-0000-0000-000005210000}"/>
    <cellStyle name="Pastaba 8" xfId="8259" xr:uid="{00000000-0005-0000-0000-000006210000}"/>
    <cellStyle name="Pastaba 8 2" xfId="8260" xr:uid="{00000000-0005-0000-0000-000007210000}"/>
    <cellStyle name="Pastaba 8 2 2" xfId="8261" xr:uid="{00000000-0005-0000-0000-000008210000}"/>
    <cellStyle name="Pastaba 8 2 3" xfId="8262" xr:uid="{00000000-0005-0000-0000-000009210000}"/>
    <cellStyle name="Pastaba 8 2 4" xfId="8263" xr:uid="{00000000-0005-0000-0000-00000A210000}"/>
    <cellStyle name="Pastaba 8 2 5" xfId="8264" xr:uid="{00000000-0005-0000-0000-00000B210000}"/>
    <cellStyle name="Pastaba 8 3" xfId="8265" xr:uid="{00000000-0005-0000-0000-00000C210000}"/>
    <cellStyle name="Pastaba 8 4" xfId="8266" xr:uid="{00000000-0005-0000-0000-00000D210000}"/>
    <cellStyle name="Pastaba 8 5" xfId="8267" xr:uid="{00000000-0005-0000-0000-00000E210000}"/>
    <cellStyle name="Pastaba 8 6" xfId="8268" xr:uid="{00000000-0005-0000-0000-00000F210000}"/>
    <cellStyle name="Pastaba 9" xfId="8269" xr:uid="{00000000-0005-0000-0000-000010210000}"/>
    <cellStyle name="Pastaba 9 2" xfId="8270" xr:uid="{00000000-0005-0000-0000-000011210000}"/>
    <cellStyle name="Pastaba 9 2 2" xfId="8271" xr:uid="{00000000-0005-0000-0000-000012210000}"/>
    <cellStyle name="Pastaba 9 2 3" xfId="8272" xr:uid="{00000000-0005-0000-0000-000013210000}"/>
    <cellStyle name="Pastaba 9 2 4" xfId="8273" xr:uid="{00000000-0005-0000-0000-000014210000}"/>
    <cellStyle name="Pastaba 9 2 5" xfId="8274" xr:uid="{00000000-0005-0000-0000-000015210000}"/>
    <cellStyle name="Pastaba 9 3" xfId="8275" xr:uid="{00000000-0005-0000-0000-000016210000}"/>
    <cellStyle name="Pastaba 9 4" xfId="8276" xr:uid="{00000000-0005-0000-0000-000017210000}"/>
    <cellStyle name="Pastaba 9 5" xfId="8277" xr:uid="{00000000-0005-0000-0000-000018210000}"/>
    <cellStyle name="Pastaba 9 6" xfId="8278" xr:uid="{00000000-0005-0000-0000-000019210000}"/>
    <cellStyle name="Pastaba_PGM_CHECK" xfId="14838" xr:uid="{00000000-0005-0000-0000-00001A210000}"/>
    <cellStyle name="Pavadinimas" xfId="8279" xr:uid="{00000000-0005-0000-0000-00001B210000}"/>
    <cellStyle name="pb_page_heading_LS" xfId="8280" xr:uid="{00000000-0005-0000-0000-00001C210000}"/>
    <cellStyle name="PBA_master" xfId="8281" xr:uid="{00000000-0005-0000-0000-00001D210000}"/>
    <cellStyle name="PBA-sub" xfId="8282" xr:uid="{00000000-0005-0000-0000-00001E210000}"/>
    <cellStyle name="Pcent" xfId="8283" xr:uid="{00000000-0005-0000-0000-00001F210000}"/>
    <cellStyle name="Pealkiri" xfId="8284" xr:uid="{00000000-0005-0000-0000-000020210000}"/>
    <cellStyle name="Pealkiri 1" xfId="8285" xr:uid="{00000000-0005-0000-0000-000021210000}"/>
    <cellStyle name="Pealkiri 1 2" xfId="8286" xr:uid="{00000000-0005-0000-0000-000022210000}"/>
    <cellStyle name="Pealkiri 1 3" xfId="8287" xr:uid="{00000000-0005-0000-0000-000023210000}"/>
    <cellStyle name="Pealkiri 2" xfId="8288" xr:uid="{00000000-0005-0000-0000-000024210000}"/>
    <cellStyle name="Pealkiri 2 2" xfId="8289" xr:uid="{00000000-0005-0000-0000-000025210000}"/>
    <cellStyle name="Pealkiri 2 3" xfId="8290" xr:uid="{00000000-0005-0000-0000-000026210000}"/>
    <cellStyle name="Pealkiri 3" xfId="8291" xr:uid="{00000000-0005-0000-0000-000027210000}"/>
    <cellStyle name="Pealkiri 3 2" xfId="8292" xr:uid="{00000000-0005-0000-0000-000028210000}"/>
    <cellStyle name="Pealkiri 3 3" xfId="8293" xr:uid="{00000000-0005-0000-0000-000029210000}"/>
    <cellStyle name="Pealkiri 4" xfId="8294" xr:uid="{00000000-0005-0000-0000-00002A210000}"/>
    <cellStyle name="Pealkiri 4 2" xfId="8295" xr:uid="{00000000-0005-0000-0000-00002B210000}"/>
    <cellStyle name="Pealkiri 4 3" xfId="8296" xr:uid="{00000000-0005-0000-0000-00002C210000}"/>
    <cellStyle name="Pealkiri 5" xfId="8297" xr:uid="{00000000-0005-0000-0000-00002D210000}"/>
    <cellStyle name="Pealkiri 6" xfId="8298" xr:uid="{00000000-0005-0000-0000-00002E210000}"/>
    <cellStyle name="Pealkiri_KTR An-Abflug" xfId="8299" xr:uid="{00000000-0005-0000-0000-00002F210000}"/>
    <cellStyle name="Percen - Style2" xfId="8300" xr:uid="{00000000-0005-0000-0000-000030210000}"/>
    <cellStyle name="Percent (0)" xfId="8301" xr:uid="{00000000-0005-0000-0000-000032210000}"/>
    <cellStyle name="Percent (00)" xfId="8302" xr:uid="{00000000-0005-0000-0000-000033210000}"/>
    <cellStyle name="Percent (1)" xfId="8303" xr:uid="{00000000-0005-0000-0000-000034210000}"/>
    <cellStyle name="Percent (2)" xfId="8304" xr:uid="{00000000-0005-0000-0000-000035210000}"/>
    <cellStyle name="Percent [0%]" xfId="8305" xr:uid="{00000000-0005-0000-0000-000036210000}"/>
    <cellStyle name="Percent [0%] 2" xfId="8306" xr:uid="{00000000-0005-0000-0000-000037210000}"/>
    <cellStyle name="Percent [0.00%]" xfId="8307" xr:uid="{00000000-0005-0000-0000-000038210000}"/>
    <cellStyle name="Percent [0.00%] 2" xfId="8308" xr:uid="{00000000-0005-0000-0000-000039210000}"/>
    <cellStyle name="Percent [2]" xfId="8309" xr:uid="{00000000-0005-0000-0000-00003A210000}"/>
    <cellStyle name="Percent 10" xfId="8310" xr:uid="{00000000-0005-0000-0000-00003B210000}"/>
    <cellStyle name="Percent 10 2" xfId="8311" xr:uid="{00000000-0005-0000-0000-00003C210000}"/>
    <cellStyle name="Percent 11" xfId="8312" xr:uid="{00000000-0005-0000-0000-00003D210000}"/>
    <cellStyle name="Percent 11 2" xfId="8313" xr:uid="{00000000-0005-0000-0000-00003E210000}"/>
    <cellStyle name="Percent 11 3" xfId="8314" xr:uid="{00000000-0005-0000-0000-00003F210000}"/>
    <cellStyle name="Percent 12" xfId="8315" xr:uid="{00000000-0005-0000-0000-000040210000}"/>
    <cellStyle name="Percent 12 2" xfId="8316" xr:uid="{00000000-0005-0000-0000-000041210000}"/>
    <cellStyle name="Percent 12 3" xfId="8317" xr:uid="{00000000-0005-0000-0000-000042210000}"/>
    <cellStyle name="Percent 13" xfId="8318" xr:uid="{00000000-0005-0000-0000-000043210000}"/>
    <cellStyle name="Percent 13 2" xfId="8319" xr:uid="{00000000-0005-0000-0000-000044210000}"/>
    <cellStyle name="Percent 13 2 2" xfId="9" xr:uid="{00000000-0005-0000-0000-000045210000}"/>
    <cellStyle name="Percent 13 3" xfId="8320" xr:uid="{00000000-0005-0000-0000-000046210000}"/>
    <cellStyle name="Percent 14" xfId="8321" xr:uid="{00000000-0005-0000-0000-000047210000}"/>
    <cellStyle name="Percent 14 2" xfId="8322" xr:uid="{00000000-0005-0000-0000-000048210000}"/>
    <cellStyle name="Percent 14 2 2" xfId="8323" xr:uid="{00000000-0005-0000-0000-000049210000}"/>
    <cellStyle name="Percent 14 2 3" xfId="8324" xr:uid="{00000000-0005-0000-0000-00004A210000}"/>
    <cellStyle name="Percent 14 3" xfId="8325" xr:uid="{00000000-0005-0000-0000-00004B210000}"/>
    <cellStyle name="Percent 14 4" xfId="8326" xr:uid="{00000000-0005-0000-0000-00004C210000}"/>
    <cellStyle name="Percent 15" xfId="8327" xr:uid="{00000000-0005-0000-0000-00004D210000}"/>
    <cellStyle name="Percent 15 2" xfId="8328" xr:uid="{00000000-0005-0000-0000-00004E210000}"/>
    <cellStyle name="Percent 16" xfId="8329" xr:uid="{00000000-0005-0000-0000-00004F210000}"/>
    <cellStyle name="Percent 16 2" xfId="8330" xr:uid="{00000000-0005-0000-0000-000050210000}"/>
    <cellStyle name="Percent 16 2 2" xfId="8331" xr:uid="{00000000-0005-0000-0000-000051210000}"/>
    <cellStyle name="Percent 16 3" xfId="8332" xr:uid="{00000000-0005-0000-0000-000052210000}"/>
    <cellStyle name="Percent 16 3 2" xfId="14783" xr:uid="{00000000-0005-0000-0000-000053210000}"/>
    <cellStyle name="Percent 17" xfId="8333" xr:uid="{00000000-0005-0000-0000-000054210000}"/>
    <cellStyle name="Percent 17 2" xfId="8334" xr:uid="{00000000-0005-0000-0000-000055210000}"/>
    <cellStyle name="Percent 17 2 2" xfId="8335" xr:uid="{00000000-0005-0000-0000-000056210000}"/>
    <cellStyle name="Percent 17 3" xfId="8336" xr:uid="{00000000-0005-0000-0000-000057210000}"/>
    <cellStyle name="Percent 17 3 2" xfId="14786" xr:uid="{00000000-0005-0000-0000-000058210000}"/>
    <cellStyle name="Percent 18" xfId="8337" xr:uid="{00000000-0005-0000-0000-000059210000}"/>
    <cellStyle name="Percent 18 2" xfId="8338" xr:uid="{00000000-0005-0000-0000-00005A210000}"/>
    <cellStyle name="Percent 18 2 2" xfId="8339" xr:uid="{00000000-0005-0000-0000-00005B210000}"/>
    <cellStyle name="Percent 18 3" xfId="8340" xr:uid="{00000000-0005-0000-0000-00005C210000}"/>
    <cellStyle name="Percent 18 3 2" xfId="14799" xr:uid="{00000000-0005-0000-0000-00005D210000}"/>
    <cellStyle name="Percent 19" xfId="8341" xr:uid="{00000000-0005-0000-0000-00005E210000}"/>
    <cellStyle name="Percent 19 2" xfId="8342" xr:uid="{00000000-0005-0000-0000-00005F210000}"/>
    <cellStyle name="Percent 19 2 2" xfId="8343" xr:uid="{00000000-0005-0000-0000-000060210000}"/>
    <cellStyle name="Percent 19 3" xfId="8344" xr:uid="{00000000-0005-0000-0000-000061210000}"/>
    <cellStyle name="Percent 19 3 2" xfId="14789" xr:uid="{00000000-0005-0000-0000-000062210000}"/>
    <cellStyle name="Percent 2" xfId="8345" xr:uid="{00000000-0005-0000-0000-000063210000}"/>
    <cellStyle name="Percent 2 2" xfId="8346" xr:uid="{00000000-0005-0000-0000-000064210000}"/>
    <cellStyle name="Percent 2 2 2" xfId="8347" xr:uid="{00000000-0005-0000-0000-000065210000}"/>
    <cellStyle name="Percent 2 2 2 2" xfId="20" xr:uid="{00000000-0005-0000-0000-000066210000}"/>
    <cellStyle name="Percent 2 2 2 2 2" xfId="8348" xr:uid="{00000000-0005-0000-0000-000067210000}"/>
    <cellStyle name="Percent 2 2 2 3" xfId="8349" xr:uid="{00000000-0005-0000-0000-000068210000}"/>
    <cellStyle name="Percent 2 2 3" xfId="8350" xr:uid="{00000000-0005-0000-0000-000069210000}"/>
    <cellStyle name="Percent 2 2 4" xfId="8351" xr:uid="{00000000-0005-0000-0000-00006A210000}"/>
    <cellStyle name="Percent 2 2 4 2" xfId="8352" xr:uid="{00000000-0005-0000-0000-00006B210000}"/>
    <cellStyle name="Percent 2 3" xfId="8353" xr:uid="{00000000-0005-0000-0000-00006C210000}"/>
    <cellStyle name="Percent 2 3 2" xfId="8354" xr:uid="{00000000-0005-0000-0000-00006D210000}"/>
    <cellStyle name="Percent 2 4" xfId="13" xr:uid="{00000000-0005-0000-0000-00006E210000}"/>
    <cellStyle name="Percent 2 4 2" xfId="8355" xr:uid="{00000000-0005-0000-0000-00006F210000}"/>
    <cellStyle name="Percent 2 5" xfId="8356" xr:uid="{00000000-0005-0000-0000-000070210000}"/>
    <cellStyle name="Percent 2 6" xfId="8357" xr:uid="{00000000-0005-0000-0000-000071210000}"/>
    <cellStyle name="Percent 2 7" xfId="8358" xr:uid="{00000000-0005-0000-0000-000072210000}"/>
    <cellStyle name="Percent 20" xfId="8359" xr:uid="{00000000-0005-0000-0000-000073210000}"/>
    <cellStyle name="Percent 20 2" xfId="8360" xr:uid="{00000000-0005-0000-0000-000074210000}"/>
    <cellStyle name="Percent 21" xfId="8361" xr:uid="{00000000-0005-0000-0000-000075210000}"/>
    <cellStyle name="Percent 21 2" xfId="8362" xr:uid="{00000000-0005-0000-0000-000076210000}"/>
    <cellStyle name="Percent 21 2 2" xfId="8363" xr:uid="{00000000-0005-0000-0000-000077210000}"/>
    <cellStyle name="Percent 21 3" xfId="8364" xr:uid="{00000000-0005-0000-0000-000078210000}"/>
    <cellStyle name="Percent 21 3 2" xfId="14792" xr:uid="{00000000-0005-0000-0000-000079210000}"/>
    <cellStyle name="Percent 22" xfId="8365" xr:uid="{00000000-0005-0000-0000-00007A210000}"/>
    <cellStyle name="Percent 22 2" xfId="8366" xr:uid="{00000000-0005-0000-0000-00007B210000}"/>
    <cellStyle name="Percent 22 2 2" xfId="8367" xr:uid="{00000000-0005-0000-0000-00007C210000}"/>
    <cellStyle name="Percent 22 3" xfId="8368" xr:uid="{00000000-0005-0000-0000-00007D210000}"/>
    <cellStyle name="Percent 22 3 2" xfId="14796" xr:uid="{00000000-0005-0000-0000-00007E210000}"/>
    <cellStyle name="Percent 23" xfId="8369" xr:uid="{00000000-0005-0000-0000-00007F210000}"/>
    <cellStyle name="Percent 23 2" xfId="8370" xr:uid="{00000000-0005-0000-0000-000080210000}"/>
    <cellStyle name="Percent 23 2 2" xfId="8371" xr:uid="{00000000-0005-0000-0000-000081210000}"/>
    <cellStyle name="Percent 23 3" xfId="8372" xr:uid="{00000000-0005-0000-0000-000082210000}"/>
    <cellStyle name="Percent 23 3 2" xfId="14795" xr:uid="{00000000-0005-0000-0000-000083210000}"/>
    <cellStyle name="Percent 24" xfId="8373" xr:uid="{00000000-0005-0000-0000-000084210000}"/>
    <cellStyle name="Percent 25" xfId="8374" xr:uid="{00000000-0005-0000-0000-000085210000}"/>
    <cellStyle name="Percent 26" xfId="8375" xr:uid="{00000000-0005-0000-0000-000086210000}"/>
    <cellStyle name="Percent 27" xfId="8376" xr:uid="{00000000-0005-0000-0000-000087210000}"/>
    <cellStyle name="Percent 28" xfId="8377" xr:uid="{00000000-0005-0000-0000-000088210000}"/>
    <cellStyle name="Percent 29" xfId="8378" xr:uid="{00000000-0005-0000-0000-000089210000}"/>
    <cellStyle name="Percent 3" xfId="8379" xr:uid="{00000000-0005-0000-0000-00008A210000}"/>
    <cellStyle name="Percent 3 2" xfId="8380" xr:uid="{00000000-0005-0000-0000-00008B210000}"/>
    <cellStyle name="Percent 3 2 2" xfId="8381" xr:uid="{00000000-0005-0000-0000-00008C210000}"/>
    <cellStyle name="Percent 3 2 3" xfId="8382" xr:uid="{00000000-0005-0000-0000-00008D210000}"/>
    <cellStyle name="Percent 3 3" xfId="8383" xr:uid="{00000000-0005-0000-0000-00008E210000}"/>
    <cellStyle name="Percent 3 3 2" xfId="8384" xr:uid="{00000000-0005-0000-0000-00008F210000}"/>
    <cellStyle name="Percent 3 3 3" xfId="14825" xr:uid="{00000000-0005-0000-0000-000090210000}"/>
    <cellStyle name="Percent 3 4" xfId="8385" xr:uid="{00000000-0005-0000-0000-000091210000}"/>
    <cellStyle name="Percent 3 5" xfId="8386" xr:uid="{00000000-0005-0000-0000-000092210000}"/>
    <cellStyle name="Percent 30" xfId="8387" xr:uid="{00000000-0005-0000-0000-000093210000}"/>
    <cellStyle name="Percent 31" xfId="8388" xr:uid="{00000000-0005-0000-0000-000094210000}"/>
    <cellStyle name="Percent 32" xfId="8389" xr:uid="{00000000-0005-0000-0000-000095210000}"/>
    <cellStyle name="Percent 32 2" xfId="8390" xr:uid="{00000000-0005-0000-0000-000096210000}"/>
    <cellStyle name="Percent 33" xfId="8391" xr:uid="{00000000-0005-0000-0000-000097210000}"/>
    <cellStyle name="Percent 33 2" xfId="8392" xr:uid="{00000000-0005-0000-0000-000098210000}"/>
    <cellStyle name="Percent 34" xfId="8393" xr:uid="{00000000-0005-0000-0000-000099210000}"/>
    <cellStyle name="Percent 34 2" xfId="8394" xr:uid="{00000000-0005-0000-0000-00009A210000}"/>
    <cellStyle name="Percent 35" xfId="8395" xr:uid="{00000000-0005-0000-0000-00009B210000}"/>
    <cellStyle name="Percent 35 2" xfId="8396" xr:uid="{00000000-0005-0000-0000-00009C210000}"/>
    <cellStyle name="Percent 36" xfId="8397" xr:uid="{00000000-0005-0000-0000-00009D210000}"/>
    <cellStyle name="Percent 36 2" xfId="8398" xr:uid="{00000000-0005-0000-0000-00009E210000}"/>
    <cellStyle name="Percent 37" xfId="8399" xr:uid="{00000000-0005-0000-0000-00009F210000}"/>
    <cellStyle name="Percent 37 2" xfId="8400" xr:uid="{00000000-0005-0000-0000-0000A0210000}"/>
    <cellStyle name="Percent 38" xfId="8401" xr:uid="{00000000-0005-0000-0000-0000A1210000}"/>
    <cellStyle name="Percent 38 2" xfId="8402" xr:uid="{00000000-0005-0000-0000-0000A2210000}"/>
    <cellStyle name="Percent 39" xfId="8403" xr:uid="{00000000-0005-0000-0000-0000A3210000}"/>
    <cellStyle name="Percent 4" xfId="8404" xr:uid="{00000000-0005-0000-0000-0000A4210000}"/>
    <cellStyle name="Percent 4 2" xfId="8405" xr:uid="{00000000-0005-0000-0000-0000A5210000}"/>
    <cellStyle name="Percent 4 3" xfId="8406" xr:uid="{00000000-0005-0000-0000-0000A6210000}"/>
    <cellStyle name="Percent 4 3 2" xfId="8407" xr:uid="{00000000-0005-0000-0000-0000A7210000}"/>
    <cellStyle name="Percent 4 4" xfId="14826" xr:uid="{00000000-0005-0000-0000-0000A8210000}"/>
    <cellStyle name="Percent 40" xfId="14827" xr:uid="{00000000-0005-0000-0000-0000A9210000}"/>
    <cellStyle name="Percent 41" xfId="14828" xr:uid="{00000000-0005-0000-0000-0000AA210000}"/>
    <cellStyle name="Percent 5" xfId="8408" xr:uid="{00000000-0005-0000-0000-0000AB210000}"/>
    <cellStyle name="Percent 5 2" xfId="17" xr:uid="{00000000-0005-0000-0000-0000AC210000}"/>
    <cellStyle name="Percent 5 2 2" xfId="8409" xr:uid="{00000000-0005-0000-0000-0000AD210000}"/>
    <cellStyle name="Percent 5 2 2 2" xfId="14804" xr:uid="{00000000-0005-0000-0000-0000AE210000}"/>
    <cellStyle name="Percent 5 3" xfId="12" xr:uid="{00000000-0005-0000-0000-0000AF210000}"/>
    <cellStyle name="Percent 5 3 2" xfId="8410" xr:uid="{00000000-0005-0000-0000-0000B0210000}"/>
    <cellStyle name="Percent 5 4" xfId="8411" xr:uid="{00000000-0005-0000-0000-0000B1210000}"/>
    <cellStyle name="Percent 5 5" xfId="8412" xr:uid="{00000000-0005-0000-0000-0000B2210000}"/>
    <cellStyle name="Percent 6" xfId="8413" xr:uid="{00000000-0005-0000-0000-0000B3210000}"/>
    <cellStyle name="Percent 6 2" xfId="8414" xr:uid="{00000000-0005-0000-0000-0000B4210000}"/>
    <cellStyle name="Percent 6 2 2" xfId="8415" xr:uid="{00000000-0005-0000-0000-0000B5210000}"/>
    <cellStyle name="Percent 6 3" xfId="8416" xr:uid="{00000000-0005-0000-0000-0000B6210000}"/>
    <cellStyle name="Percent 7" xfId="8417" xr:uid="{00000000-0005-0000-0000-0000B7210000}"/>
    <cellStyle name="Percent 7 2" xfId="8418" xr:uid="{00000000-0005-0000-0000-0000B8210000}"/>
    <cellStyle name="Percent 7 2 2" xfId="8419" xr:uid="{00000000-0005-0000-0000-0000B9210000}"/>
    <cellStyle name="Percent 7 3" xfId="8420" xr:uid="{00000000-0005-0000-0000-0000BA210000}"/>
    <cellStyle name="Percent 8" xfId="8421" xr:uid="{00000000-0005-0000-0000-0000BB210000}"/>
    <cellStyle name="Percent 8 2" xfId="8422" xr:uid="{00000000-0005-0000-0000-0000BC210000}"/>
    <cellStyle name="Percent 8 3" xfId="8423" xr:uid="{00000000-0005-0000-0000-0000BD210000}"/>
    <cellStyle name="Percent 9" xfId="8424" xr:uid="{00000000-0005-0000-0000-0000BE210000}"/>
    <cellStyle name="Percent 9 2" xfId="8425" xr:uid="{00000000-0005-0000-0000-0000BF210000}"/>
    <cellStyle name="Percent 9 3" xfId="8426" xr:uid="{00000000-0005-0000-0000-0000C0210000}"/>
    <cellStyle name="Percent Hard" xfId="8427" xr:uid="{00000000-0005-0000-0000-0000C1210000}"/>
    <cellStyle name="percentage" xfId="8428" xr:uid="{00000000-0005-0000-0000-0000C2210000}"/>
    <cellStyle name="Percentuale 10" xfId="8429" xr:uid="{00000000-0005-0000-0000-0000C3210000}"/>
    <cellStyle name="Percentuale 10 2" xfId="8430" xr:uid="{00000000-0005-0000-0000-0000C4210000}"/>
    <cellStyle name="Percentuale 11" xfId="8431" xr:uid="{00000000-0005-0000-0000-0000C5210000}"/>
    <cellStyle name="Percentuale 11 2" xfId="8432" xr:uid="{00000000-0005-0000-0000-0000C6210000}"/>
    <cellStyle name="Percentuale 12" xfId="8433" xr:uid="{00000000-0005-0000-0000-0000C7210000}"/>
    <cellStyle name="Percentuale 12 2" xfId="8434" xr:uid="{00000000-0005-0000-0000-0000C8210000}"/>
    <cellStyle name="Percentuale 13" xfId="8435" xr:uid="{00000000-0005-0000-0000-0000C9210000}"/>
    <cellStyle name="Percentuale 13 2" xfId="8436" xr:uid="{00000000-0005-0000-0000-0000CA210000}"/>
    <cellStyle name="Percentuale 14" xfId="8437" xr:uid="{00000000-0005-0000-0000-0000CB210000}"/>
    <cellStyle name="Percentuale 15" xfId="8438" xr:uid="{00000000-0005-0000-0000-0000CC210000}"/>
    <cellStyle name="Percentuale 16" xfId="8439" xr:uid="{00000000-0005-0000-0000-0000CD210000}"/>
    <cellStyle name="Percentuale 17" xfId="8440" xr:uid="{00000000-0005-0000-0000-0000CE210000}"/>
    <cellStyle name="Percentuale 18" xfId="8441" xr:uid="{00000000-0005-0000-0000-0000CF210000}"/>
    <cellStyle name="Percentuale 19" xfId="8442" xr:uid="{00000000-0005-0000-0000-0000D0210000}"/>
    <cellStyle name="Percentuale 2" xfId="8443" xr:uid="{00000000-0005-0000-0000-0000D1210000}"/>
    <cellStyle name="Percentuale 2 2" xfId="8444" xr:uid="{00000000-0005-0000-0000-0000D2210000}"/>
    <cellStyle name="Percentuale 2 2 2" xfId="8445" xr:uid="{00000000-0005-0000-0000-0000D3210000}"/>
    <cellStyle name="Percentuale 2 3" xfId="8446" xr:uid="{00000000-0005-0000-0000-0000D4210000}"/>
    <cellStyle name="Percentuale 3" xfId="8447" xr:uid="{00000000-0005-0000-0000-0000D5210000}"/>
    <cellStyle name="Percentuale 3 2" xfId="8448" xr:uid="{00000000-0005-0000-0000-0000D6210000}"/>
    <cellStyle name="Percentuale 3 2 2" xfId="8449" xr:uid="{00000000-0005-0000-0000-0000D7210000}"/>
    <cellStyle name="Percentuale 3 3" xfId="8450" xr:uid="{00000000-0005-0000-0000-0000D8210000}"/>
    <cellStyle name="Percentuale 4" xfId="8451" xr:uid="{00000000-0005-0000-0000-0000D9210000}"/>
    <cellStyle name="Percentuale 4 2" xfId="8452" xr:uid="{00000000-0005-0000-0000-0000DA210000}"/>
    <cellStyle name="Percentuale 5" xfId="8453" xr:uid="{00000000-0005-0000-0000-0000DB210000}"/>
    <cellStyle name="Percentuale 5 2" xfId="8454" xr:uid="{00000000-0005-0000-0000-0000DC210000}"/>
    <cellStyle name="Percentuale 6" xfId="8455" xr:uid="{00000000-0005-0000-0000-0000DD210000}"/>
    <cellStyle name="Percentuale 6 2" xfId="8456" xr:uid="{00000000-0005-0000-0000-0000DE210000}"/>
    <cellStyle name="Percentuale 7" xfId="8457" xr:uid="{00000000-0005-0000-0000-0000DF210000}"/>
    <cellStyle name="Percentuale 7 2" xfId="8458" xr:uid="{00000000-0005-0000-0000-0000E0210000}"/>
    <cellStyle name="Percentuale 7 3" xfId="14829" xr:uid="{00000000-0005-0000-0000-0000E1210000}"/>
    <cellStyle name="Percentuale 8" xfId="8459" xr:uid="{00000000-0005-0000-0000-0000E2210000}"/>
    <cellStyle name="Percentuale 8 2" xfId="8460" xr:uid="{00000000-0005-0000-0000-0000E3210000}"/>
    <cellStyle name="Percentuale 8 3" xfId="14830" xr:uid="{00000000-0005-0000-0000-0000E4210000}"/>
    <cellStyle name="Percentuale 9" xfId="8461" xr:uid="{00000000-0005-0000-0000-0000E5210000}"/>
    <cellStyle name="percnt" xfId="8462" xr:uid="{00000000-0005-0000-0000-0000E6210000}"/>
    <cellStyle name="periodformat" xfId="8463" xr:uid="{00000000-0005-0000-0000-0000E7210000}"/>
    <cellStyle name="Pilkku_Layo9704" xfId="8464" xr:uid="{00000000-0005-0000-0000-0000E8210000}"/>
    <cellStyle name="Pilote de données - Catégorie" xfId="8465" xr:uid="{00000000-0005-0000-0000-0000E9210000}"/>
    <cellStyle name="Pilote de données - Catégorie 1" xfId="8466" xr:uid="{00000000-0005-0000-0000-0000EA210000}"/>
    <cellStyle name="Pilote de données - Catégorie 2" xfId="8467" xr:uid="{00000000-0005-0000-0000-0000EB210000}"/>
    <cellStyle name="Pilote de données - Catégorie 3" xfId="8468" xr:uid="{00000000-0005-0000-0000-0000EC210000}"/>
    <cellStyle name="Pilote de données - Catégorie_Lettre plafond PLF 2012 - MEDDTL - fichier source" xfId="8469" xr:uid="{00000000-0005-0000-0000-0000ED210000}"/>
    <cellStyle name="Pilote de données - Champ" xfId="8470" xr:uid="{00000000-0005-0000-0000-0000EE210000}"/>
    <cellStyle name="Pilote de données - Champ 1" xfId="8471" xr:uid="{00000000-0005-0000-0000-0000EF210000}"/>
    <cellStyle name="Pilote de données - Champ_2013 03 05 ANNEXES circulaire sécurisation" xfId="8472" xr:uid="{00000000-0005-0000-0000-0000F0210000}"/>
    <cellStyle name="Pilote de données - Coin" xfId="8473" xr:uid="{00000000-0005-0000-0000-0000F1210000}"/>
    <cellStyle name="Pilote de données - Coin 1" xfId="8474" xr:uid="{00000000-0005-0000-0000-0000F2210000}"/>
    <cellStyle name="Pilote de données - Coin_2013 03 05 ANNEXES circulaire sécurisation" xfId="8475" xr:uid="{00000000-0005-0000-0000-0000F3210000}"/>
    <cellStyle name="Pilote de données - Résultat" xfId="8476" xr:uid="{00000000-0005-0000-0000-0000F4210000}"/>
    <cellStyle name="Pilote de données - Résultat 1" xfId="8477" xr:uid="{00000000-0005-0000-0000-0000F5210000}"/>
    <cellStyle name="Pilote de données - Résultat_2013 03 05 ANNEXES circulaire sécurisation" xfId="8478" xr:uid="{00000000-0005-0000-0000-0000F6210000}"/>
    <cellStyle name="Pilote de données - Titre" xfId="8479" xr:uid="{00000000-0005-0000-0000-0000F7210000}"/>
    <cellStyle name="Pilote de données - Titre 1" xfId="8480" xr:uid="{00000000-0005-0000-0000-0000F8210000}"/>
    <cellStyle name="Pilote de données - Titre_2013 03 05 ANNEXES circulaire sécurisation" xfId="8481" xr:uid="{00000000-0005-0000-0000-0000F9210000}"/>
    <cellStyle name="Pilote de données - Valeur" xfId="8482" xr:uid="{00000000-0005-0000-0000-0000FA210000}"/>
    <cellStyle name="Pilote de données - Valeur 1" xfId="8483" xr:uid="{00000000-0005-0000-0000-0000FB210000}"/>
    <cellStyle name="Pilote de données - Valeur 2" xfId="8484" xr:uid="{00000000-0005-0000-0000-0000FC210000}"/>
    <cellStyle name="Pilote de données - Valeur_2013 03 05 ANNEXES circulaire sécurisation" xfId="8485" xr:uid="{00000000-0005-0000-0000-0000FD210000}"/>
    <cellStyle name="pivot item labels &amp; totals" xfId="8486" xr:uid="{00000000-0005-0000-0000-0000FE210000}"/>
    <cellStyle name="pivot item labels &amp; totals 10" xfId="8487" xr:uid="{00000000-0005-0000-0000-0000FF210000}"/>
    <cellStyle name="pivot item labels &amp; totals 10 2" xfId="8488" xr:uid="{00000000-0005-0000-0000-000000220000}"/>
    <cellStyle name="pivot item labels &amp; totals 10 2 2" xfId="8489" xr:uid="{00000000-0005-0000-0000-000001220000}"/>
    <cellStyle name="pivot item labels &amp; totals 10 2 3" xfId="8490" xr:uid="{00000000-0005-0000-0000-000002220000}"/>
    <cellStyle name="pivot item labels &amp; totals 10 2 4" xfId="8491" xr:uid="{00000000-0005-0000-0000-000003220000}"/>
    <cellStyle name="pivot item labels &amp; totals 10 2 5" xfId="8492" xr:uid="{00000000-0005-0000-0000-000004220000}"/>
    <cellStyle name="pivot item labels &amp; totals 10 3" xfId="8493" xr:uid="{00000000-0005-0000-0000-000005220000}"/>
    <cellStyle name="pivot item labels &amp; totals 10 4" xfId="8494" xr:uid="{00000000-0005-0000-0000-000006220000}"/>
    <cellStyle name="pivot item labels &amp; totals 10 5" xfId="8495" xr:uid="{00000000-0005-0000-0000-000007220000}"/>
    <cellStyle name="pivot item labels &amp; totals 10 6" xfId="8496" xr:uid="{00000000-0005-0000-0000-000008220000}"/>
    <cellStyle name="pivot item labels &amp; totals 11" xfId="8497" xr:uid="{00000000-0005-0000-0000-000009220000}"/>
    <cellStyle name="pivot item labels &amp; totals 11 2" xfId="8498" xr:uid="{00000000-0005-0000-0000-00000A220000}"/>
    <cellStyle name="pivot item labels &amp; totals 11 2 2" xfId="8499" xr:uid="{00000000-0005-0000-0000-00000B220000}"/>
    <cellStyle name="pivot item labels &amp; totals 11 2 3" xfId="8500" xr:uid="{00000000-0005-0000-0000-00000C220000}"/>
    <cellStyle name="pivot item labels &amp; totals 11 2 4" xfId="8501" xr:uid="{00000000-0005-0000-0000-00000D220000}"/>
    <cellStyle name="pivot item labels &amp; totals 11 2 5" xfId="8502" xr:uid="{00000000-0005-0000-0000-00000E220000}"/>
    <cellStyle name="pivot item labels &amp; totals 11 3" xfId="8503" xr:uid="{00000000-0005-0000-0000-00000F220000}"/>
    <cellStyle name="pivot item labels &amp; totals 11 4" xfId="8504" xr:uid="{00000000-0005-0000-0000-000010220000}"/>
    <cellStyle name="pivot item labels &amp; totals 11 5" xfId="8505" xr:uid="{00000000-0005-0000-0000-000011220000}"/>
    <cellStyle name="pivot item labels &amp; totals 11 6" xfId="8506" xr:uid="{00000000-0005-0000-0000-000012220000}"/>
    <cellStyle name="pivot item labels &amp; totals 12" xfId="8507" xr:uid="{00000000-0005-0000-0000-000013220000}"/>
    <cellStyle name="pivot item labels &amp; totals 12 2" xfId="8508" xr:uid="{00000000-0005-0000-0000-000014220000}"/>
    <cellStyle name="pivot item labels &amp; totals 12 2 2" xfId="8509" xr:uid="{00000000-0005-0000-0000-000015220000}"/>
    <cellStyle name="pivot item labels &amp; totals 12 2 3" xfId="8510" xr:uid="{00000000-0005-0000-0000-000016220000}"/>
    <cellStyle name="pivot item labels &amp; totals 12 2 4" xfId="8511" xr:uid="{00000000-0005-0000-0000-000017220000}"/>
    <cellStyle name="pivot item labels &amp; totals 12 2 5" xfId="8512" xr:uid="{00000000-0005-0000-0000-000018220000}"/>
    <cellStyle name="pivot item labels &amp; totals 12 3" xfId="8513" xr:uid="{00000000-0005-0000-0000-000019220000}"/>
    <cellStyle name="pivot item labels &amp; totals 12 4" xfId="8514" xr:uid="{00000000-0005-0000-0000-00001A220000}"/>
    <cellStyle name="pivot item labels &amp; totals 12 5" xfId="8515" xr:uid="{00000000-0005-0000-0000-00001B220000}"/>
    <cellStyle name="pivot item labels &amp; totals 12 6" xfId="8516" xr:uid="{00000000-0005-0000-0000-00001C220000}"/>
    <cellStyle name="pivot item labels &amp; totals 13" xfId="8517" xr:uid="{00000000-0005-0000-0000-00001D220000}"/>
    <cellStyle name="pivot item labels &amp; totals 13 2" xfId="8518" xr:uid="{00000000-0005-0000-0000-00001E220000}"/>
    <cellStyle name="pivot item labels &amp; totals 13 2 2" xfId="8519" xr:uid="{00000000-0005-0000-0000-00001F220000}"/>
    <cellStyle name="pivot item labels &amp; totals 13 2 3" xfId="8520" xr:uid="{00000000-0005-0000-0000-000020220000}"/>
    <cellStyle name="pivot item labels &amp; totals 13 2 4" xfId="8521" xr:uid="{00000000-0005-0000-0000-000021220000}"/>
    <cellStyle name="pivot item labels &amp; totals 13 2 5" xfId="8522" xr:uid="{00000000-0005-0000-0000-000022220000}"/>
    <cellStyle name="pivot item labels &amp; totals 13 3" xfId="8523" xr:uid="{00000000-0005-0000-0000-000023220000}"/>
    <cellStyle name="pivot item labels &amp; totals 13 4" xfId="8524" xr:uid="{00000000-0005-0000-0000-000024220000}"/>
    <cellStyle name="pivot item labels &amp; totals 13 5" xfId="8525" xr:uid="{00000000-0005-0000-0000-000025220000}"/>
    <cellStyle name="pivot item labels &amp; totals 13 6" xfId="8526" xr:uid="{00000000-0005-0000-0000-000026220000}"/>
    <cellStyle name="pivot item labels &amp; totals 14" xfId="8527" xr:uid="{00000000-0005-0000-0000-000027220000}"/>
    <cellStyle name="pivot item labels &amp; totals 14 2" xfId="8528" xr:uid="{00000000-0005-0000-0000-000028220000}"/>
    <cellStyle name="pivot item labels &amp; totals 14 2 2" xfId="8529" xr:uid="{00000000-0005-0000-0000-000029220000}"/>
    <cellStyle name="pivot item labels &amp; totals 14 2 3" xfId="8530" xr:uid="{00000000-0005-0000-0000-00002A220000}"/>
    <cellStyle name="pivot item labels &amp; totals 14 2 4" xfId="8531" xr:uid="{00000000-0005-0000-0000-00002B220000}"/>
    <cellStyle name="pivot item labels &amp; totals 14 2 5" xfId="8532" xr:uid="{00000000-0005-0000-0000-00002C220000}"/>
    <cellStyle name="pivot item labels &amp; totals 14 3" xfId="8533" xr:uid="{00000000-0005-0000-0000-00002D220000}"/>
    <cellStyle name="pivot item labels &amp; totals 14 4" xfId="8534" xr:uid="{00000000-0005-0000-0000-00002E220000}"/>
    <cellStyle name="pivot item labels &amp; totals 14 5" xfId="8535" xr:uid="{00000000-0005-0000-0000-00002F220000}"/>
    <cellStyle name="pivot item labels &amp; totals 14 6" xfId="8536" xr:uid="{00000000-0005-0000-0000-000030220000}"/>
    <cellStyle name="pivot item labels &amp; totals 15" xfId="8537" xr:uid="{00000000-0005-0000-0000-000031220000}"/>
    <cellStyle name="pivot item labels &amp; totals 15 2" xfId="8538" xr:uid="{00000000-0005-0000-0000-000032220000}"/>
    <cellStyle name="pivot item labels &amp; totals 15 2 2" xfId="8539" xr:uid="{00000000-0005-0000-0000-000033220000}"/>
    <cellStyle name="pivot item labels &amp; totals 15 2 3" xfId="8540" xr:uid="{00000000-0005-0000-0000-000034220000}"/>
    <cellStyle name="pivot item labels &amp; totals 15 2 4" xfId="8541" xr:uid="{00000000-0005-0000-0000-000035220000}"/>
    <cellStyle name="pivot item labels &amp; totals 15 2 5" xfId="8542" xr:uid="{00000000-0005-0000-0000-000036220000}"/>
    <cellStyle name="pivot item labels &amp; totals 15 3" xfId="8543" xr:uid="{00000000-0005-0000-0000-000037220000}"/>
    <cellStyle name="pivot item labels &amp; totals 15 4" xfId="8544" xr:uid="{00000000-0005-0000-0000-000038220000}"/>
    <cellStyle name="pivot item labels &amp; totals 15 5" xfId="8545" xr:uid="{00000000-0005-0000-0000-000039220000}"/>
    <cellStyle name="pivot item labels &amp; totals 15 6" xfId="8546" xr:uid="{00000000-0005-0000-0000-00003A220000}"/>
    <cellStyle name="pivot item labels &amp; totals 16" xfId="8547" xr:uid="{00000000-0005-0000-0000-00003B220000}"/>
    <cellStyle name="pivot item labels &amp; totals 16 2" xfId="8548" xr:uid="{00000000-0005-0000-0000-00003C220000}"/>
    <cellStyle name="pivot item labels &amp; totals 16 3" xfId="8549" xr:uid="{00000000-0005-0000-0000-00003D220000}"/>
    <cellStyle name="pivot item labels &amp; totals 16 4" xfId="8550" xr:uid="{00000000-0005-0000-0000-00003E220000}"/>
    <cellStyle name="pivot item labels &amp; totals 16 5" xfId="8551" xr:uid="{00000000-0005-0000-0000-00003F220000}"/>
    <cellStyle name="pivot item labels &amp; totals 17" xfId="8552" xr:uid="{00000000-0005-0000-0000-000040220000}"/>
    <cellStyle name="pivot item labels &amp; totals 18" xfId="8553" xr:uid="{00000000-0005-0000-0000-000041220000}"/>
    <cellStyle name="pivot item labels &amp; totals 19" xfId="8554" xr:uid="{00000000-0005-0000-0000-000042220000}"/>
    <cellStyle name="pivot item labels &amp; totals 2" xfId="8555" xr:uid="{00000000-0005-0000-0000-000043220000}"/>
    <cellStyle name="pivot item labels &amp; totals 2 2" xfId="8556" xr:uid="{00000000-0005-0000-0000-000044220000}"/>
    <cellStyle name="pivot item labels &amp; totals 2 2 2" xfId="8557" xr:uid="{00000000-0005-0000-0000-000045220000}"/>
    <cellStyle name="pivot item labels &amp; totals 2 2 3" xfId="8558" xr:uid="{00000000-0005-0000-0000-000046220000}"/>
    <cellStyle name="pivot item labels &amp; totals 2 2 4" xfId="8559" xr:uid="{00000000-0005-0000-0000-000047220000}"/>
    <cellStyle name="pivot item labels &amp; totals 2 2 5" xfId="8560" xr:uid="{00000000-0005-0000-0000-000048220000}"/>
    <cellStyle name="pivot item labels &amp; totals 2 3" xfId="8561" xr:uid="{00000000-0005-0000-0000-000049220000}"/>
    <cellStyle name="pivot item labels &amp; totals 2 4" xfId="8562" xr:uid="{00000000-0005-0000-0000-00004A220000}"/>
    <cellStyle name="pivot item labels &amp; totals 2 5" xfId="8563" xr:uid="{00000000-0005-0000-0000-00004B220000}"/>
    <cellStyle name="pivot item labels &amp; totals 2 6" xfId="8564" xr:uid="{00000000-0005-0000-0000-00004C220000}"/>
    <cellStyle name="pivot item labels &amp; totals 20" xfId="8565" xr:uid="{00000000-0005-0000-0000-00004D220000}"/>
    <cellStyle name="pivot item labels &amp; totals 3" xfId="8566" xr:uid="{00000000-0005-0000-0000-00004E220000}"/>
    <cellStyle name="pivot item labels &amp; totals 3 2" xfId="8567" xr:uid="{00000000-0005-0000-0000-00004F220000}"/>
    <cellStyle name="pivot item labels &amp; totals 3 2 2" xfId="8568" xr:uid="{00000000-0005-0000-0000-000050220000}"/>
    <cellStyle name="pivot item labels &amp; totals 3 2 3" xfId="8569" xr:uid="{00000000-0005-0000-0000-000051220000}"/>
    <cellStyle name="pivot item labels &amp; totals 3 2 4" xfId="8570" xr:uid="{00000000-0005-0000-0000-000052220000}"/>
    <cellStyle name="pivot item labels &amp; totals 3 2 5" xfId="8571" xr:uid="{00000000-0005-0000-0000-000053220000}"/>
    <cellStyle name="pivot item labels &amp; totals 3 3" xfId="8572" xr:uid="{00000000-0005-0000-0000-000054220000}"/>
    <cellStyle name="pivot item labels &amp; totals 3 4" xfId="8573" xr:uid="{00000000-0005-0000-0000-000055220000}"/>
    <cellStyle name="pivot item labels &amp; totals 3 5" xfId="8574" xr:uid="{00000000-0005-0000-0000-000056220000}"/>
    <cellStyle name="pivot item labels &amp; totals 3 6" xfId="8575" xr:uid="{00000000-0005-0000-0000-000057220000}"/>
    <cellStyle name="pivot item labels &amp; totals 4" xfId="8576" xr:uid="{00000000-0005-0000-0000-000058220000}"/>
    <cellStyle name="pivot item labels &amp; totals 4 2" xfId="8577" xr:uid="{00000000-0005-0000-0000-000059220000}"/>
    <cellStyle name="pivot item labels &amp; totals 4 2 2" xfId="8578" xr:uid="{00000000-0005-0000-0000-00005A220000}"/>
    <cellStyle name="pivot item labels &amp; totals 4 2 3" xfId="8579" xr:uid="{00000000-0005-0000-0000-00005B220000}"/>
    <cellStyle name="pivot item labels &amp; totals 4 2 4" xfId="8580" xr:uid="{00000000-0005-0000-0000-00005C220000}"/>
    <cellStyle name="pivot item labels &amp; totals 4 2 5" xfId="8581" xr:uid="{00000000-0005-0000-0000-00005D220000}"/>
    <cellStyle name="pivot item labels &amp; totals 4 3" xfId="8582" xr:uid="{00000000-0005-0000-0000-00005E220000}"/>
    <cellStyle name="pivot item labels &amp; totals 4 4" xfId="8583" xr:uid="{00000000-0005-0000-0000-00005F220000}"/>
    <cellStyle name="pivot item labels &amp; totals 4 5" xfId="8584" xr:uid="{00000000-0005-0000-0000-000060220000}"/>
    <cellStyle name="pivot item labels &amp; totals 4 6" xfId="8585" xr:uid="{00000000-0005-0000-0000-000061220000}"/>
    <cellStyle name="pivot item labels &amp; totals 5" xfId="8586" xr:uid="{00000000-0005-0000-0000-000062220000}"/>
    <cellStyle name="pivot item labels &amp; totals 5 2" xfId="8587" xr:uid="{00000000-0005-0000-0000-000063220000}"/>
    <cellStyle name="pivot item labels &amp; totals 5 2 2" xfId="8588" xr:uid="{00000000-0005-0000-0000-000064220000}"/>
    <cellStyle name="pivot item labels &amp; totals 5 2 3" xfId="8589" xr:uid="{00000000-0005-0000-0000-000065220000}"/>
    <cellStyle name="pivot item labels &amp; totals 5 2 4" xfId="8590" xr:uid="{00000000-0005-0000-0000-000066220000}"/>
    <cellStyle name="pivot item labels &amp; totals 5 2 5" xfId="8591" xr:uid="{00000000-0005-0000-0000-000067220000}"/>
    <cellStyle name="pivot item labels &amp; totals 5 3" xfId="8592" xr:uid="{00000000-0005-0000-0000-000068220000}"/>
    <cellStyle name="pivot item labels &amp; totals 5 4" xfId="8593" xr:uid="{00000000-0005-0000-0000-000069220000}"/>
    <cellStyle name="pivot item labels &amp; totals 5 5" xfId="8594" xr:uid="{00000000-0005-0000-0000-00006A220000}"/>
    <cellStyle name="pivot item labels &amp; totals 5 6" xfId="8595" xr:uid="{00000000-0005-0000-0000-00006B220000}"/>
    <cellStyle name="pivot item labels &amp; totals 6" xfId="8596" xr:uid="{00000000-0005-0000-0000-00006C220000}"/>
    <cellStyle name="pivot item labels &amp; totals 6 2" xfId="8597" xr:uid="{00000000-0005-0000-0000-00006D220000}"/>
    <cellStyle name="pivot item labels &amp; totals 6 2 2" xfId="8598" xr:uid="{00000000-0005-0000-0000-00006E220000}"/>
    <cellStyle name="pivot item labels &amp; totals 6 2 3" xfId="8599" xr:uid="{00000000-0005-0000-0000-00006F220000}"/>
    <cellStyle name="pivot item labels &amp; totals 6 2 4" xfId="8600" xr:uid="{00000000-0005-0000-0000-000070220000}"/>
    <cellStyle name="pivot item labels &amp; totals 6 2 5" xfId="8601" xr:uid="{00000000-0005-0000-0000-000071220000}"/>
    <cellStyle name="pivot item labels &amp; totals 6 3" xfId="8602" xr:uid="{00000000-0005-0000-0000-000072220000}"/>
    <cellStyle name="pivot item labels &amp; totals 6 4" xfId="8603" xr:uid="{00000000-0005-0000-0000-000073220000}"/>
    <cellStyle name="pivot item labels &amp; totals 6 5" xfId="8604" xr:uid="{00000000-0005-0000-0000-000074220000}"/>
    <cellStyle name="pivot item labels &amp; totals 6 6" xfId="8605" xr:uid="{00000000-0005-0000-0000-000075220000}"/>
    <cellStyle name="pivot item labels &amp; totals 7" xfId="8606" xr:uid="{00000000-0005-0000-0000-000076220000}"/>
    <cellStyle name="pivot item labels &amp; totals 7 2" xfId="8607" xr:uid="{00000000-0005-0000-0000-000077220000}"/>
    <cellStyle name="pivot item labels &amp; totals 7 2 2" xfId="8608" xr:uid="{00000000-0005-0000-0000-000078220000}"/>
    <cellStyle name="pivot item labels &amp; totals 7 2 3" xfId="8609" xr:uid="{00000000-0005-0000-0000-000079220000}"/>
    <cellStyle name="pivot item labels &amp; totals 7 2 4" xfId="8610" xr:uid="{00000000-0005-0000-0000-00007A220000}"/>
    <cellStyle name="pivot item labels &amp; totals 7 2 5" xfId="8611" xr:uid="{00000000-0005-0000-0000-00007B220000}"/>
    <cellStyle name="pivot item labels &amp; totals 7 3" xfId="8612" xr:uid="{00000000-0005-0000-0000-00007C220000}"/>
    <cellStyle name="pivot item labels &amp; totals 7 4" xfId="8613" xr:uid="{00000000-0005-0000-0000-00007D220000}"/>
    <cellStyle name="pivot item labels &amp; totals 7 5" xfId="8614" xr:uid="{00000000-0005-0000-0000-00007E220000}"/>
    <cellStyle name="pivot item labels &amp; totals 7 6" xfId="8615" xr:uid="{00000000-0005-0000-0000-00007F220000}"/>
    <cellStyle name="pivot item labels &amp; totals 8" xfId="8616" xr:uid="{00000000-0005-0000-0000-000080220000}"/>
    <cellStyle name="pivot item labels &amp; totals 8 2" xfId="8617" xr:uid="{00000000-0005-0000-0000-000081220000}"/>
    <cellStyle name="pivot item labels &amp; totals 8 2 2" xfId="8618" xr:uid="{00000000-0005-0000-0000-000082220000}"/>
    <cellStyle name="pivot item labels &amp; totals 8 2 3" xfId="8619" xr:uid="{00000000-0005-0000-0000-000083220000}"/>
    <cellStyle name="pivot item labels &amp; totals 8 2 4" xfId="8620" xr:uid="{00000000-0005-0000-0000-000084220000}"/>
    <cellStyle name="pivot item labels &amp; totals 8 2 5" xfId="8621" xr:uid="{00000000-0005-0000-0000-000085220000}"/>
    <cellStyle name="pivot item labels &amp; totals 8 3" xfId="8622" xr:uid="{00000000-0005-0000-0000-000086220000}"/>
    <cellStyle name="pivot item labels &amp; totals 8 4" xfId="8623" xr:uid="{00000000-0005-0000-0000-000087220000}"/>
    <cellStyle name="pivot item labels &amp; totals 8 5" xfId="8624" xr:uid="{00000000-0005-0000-0000-000088220000}"/>
    <cellStyle name="pivot item labels &amp; totals 8 6" xfId="8625" xr:uid="{00000000-0005-0000-0000-000089220000}"/>
    <cellStyle name="pivot item labels &amp; totals 9" xfId="8626" xr:uid="{00000000-0005-0000-0000-00008A220000}"/>
    <cellStyle name="pivot item labels &amp; totals 9 2" xfId="8627" xr:uid="{00000000-0005-0000-0000-00008B220000}"/>
    <cellStyle name="pivot item labels &amp; totals 9 2 2" xfId="8628" xr:uid="{00000000-0005-0000-0000-00008C220000}"/>
    <cellStyle name="pivot item labels &amp; totals 9 2 3" xfId="8629" xr:uid="{00000000-0005-0000-0000-00008D220000}"/>
    <cellStyle name="pivot item labels &amp; totals 9 2 4" xfId="8630" xr:uid="{00000000-0005-0000-0000-00008E220000}"/>
    <cellStyle name="pivot item labels &amp; totals 9 2 5" xfId="8631" xr:uid="{00000000-0005-0000-0000-00008F220000}"/>
    <cellStyle name="pivot item labels &amp; totals 9 3" xfId="8632" xr:uid="{00000000-0005-0000-0000-000090220000}"/>
    <cellStyle name="pivot item labels &amp; totals 9 4" xfId="8633" xr:uid="{00000000-0005-0000-0000-000091220000}"/>
    <cellStyle name="pivot item labels &amp; totals 9 5" xfId="8634" xr:uid="{00000000-0005-0000-0000-000092220000}"/>
    <cellStyle name="pivot item labels &amp; totals 9 6" xfId="8635" xr:uid="{00000000-0005-0000-0000-000093220000}"/>
    <cellStyle name="pivot item labels &amp; totals_KTR An-Abflug" xfId="14881" xr:uid="{00000000-0005-0000-0000-000094220000}"/>
    <cellStyle name="pivot nation" xfId="8636" xr:uid="{00000000-0005-0000-0000-000095220000}"/>
    <cellStyle name="pivot nation 2" xfId="8637" xr:uid="{00000000-0005-0000-0000-000096220000}"/>
    <cellStyle name="pivotdata" xfId="8638" xr:uid="{00000000-0005-0000-0000-000097220000}"/>
    <cellStyle name="pivotdata 2" xfId="8639" xr:uid="{00000000-0005-0000-0000-000098220000}"/>
    <cellStyle name="pivotdata 3" xfId="8640" xr:uid="{00000000-0005-0000-0000-000099220000}"/>
    <cellStyle name="pivotdata 4" xfId="8641" xr:uid="{00000000-0005-0000-0000-00009A220000}"/>
    <cellStyle name="pivotdata_Copy of PGM - ONLY CHECK" xfId="8642" xr:uid="{00000000-0005-0000-0000-00009B220000}"/>
    <cellStyle name="Pourcent(2)" xfId="8643" xr:uid="{00000000-0005-0000-0000-00009C220000}"/>
    <cellStyle name="Pourcent0" xfId="8644" xr:uid="{00000000-0005-0000-0000-00009D220000}"/>
    <cellStyle name="Pourcent1" xfId="8645" xr:uid="{00000000-0005-0000-0000-00009E220000}"/>
    <cellStyle name="Pourcent2" xfId="8646" xr:uid="{00000000-0005-0000-0000-00009F220000}"/>
    <cellStyle name="Pourcentage 2" xfId="8647" xr:uid="{00000000-0005-0000-0000-0000A0220000}"/>
    <cellStyle name="Pourcentage 2 2" xfId="8648" xr:uid="{00000000-0005-0000-0000-0000A1220000}"/>
    <cellStyle name="Pourcentage 2 2 2" xfId="8649" xr:uid="{00000000-0005-0000-0000-0000A2220000}"/>
    <cellStyle name="Pourcentage 2 2 3" xfId="8650" xr:uid="{00000000-0005-0000-0000-0000A3220000}"/>
    <cellStyle name="Pourcentage 2 2 4" xfId="8651" xr:uid="{00000000-0005-0000-0000-0000A4220000}"/>
    <cellStyle name="Pourcentage 2 3" xfId="8652" xr:uid="{00000000-0005-0000-0000-0000A5220000}"/>
    <cellStyle name="Pourcentage 2 3 2" xfId="8653" xr:uid="{00000000-0005-0000-0000-0000A6220000}"/>
    <cellStyle name="Pourcentage 3" xfId="8654" xr:uid="{00000000-0005-0000-0000-0000A7220000}"/>
    <cellStyle name="Pourcentage 3 2" xfId="8655" xr:uid="{00000000-0005-0000-0000-0000A8220000}"/>
    <cellStyle name="Pourcentage 3 2 2" xfId="8656" xr:uid="{00000000-0005-0000-0000-0000A9220000}"/>
    <cellStyle name="Pourcentage 4" xfId="8657" xr:uid="{00000000-0005-0000-0000-0000AA220000}"/>
    <cellStyle name="Pourcentage 4 2" xfId="8658" xr:uid="{00000000-0005-0000-0000-0000AB220000}"/>
    <cellStyle name="Pourcentage 4 3" xfId="8659" xr:uid="{00000000-0005-0000-0000-0000AC220000}"/>
    <cellStyle name="Pourcentage 5" xfId="8660" xr:uid="{00000000-0005-0000-0000-0000AD220000}"/>
    <cellStyle name="Pourcentage 6" xfId="8661" xr:uid="{00000000-0005-0000-0000-0000AE220000}"/>
    <cellStyle name="Pourcentage 6 2" xfId="8662" xr:uid="{00000000-0005-0000-0000-0000AF220000}"/>
    <cellStyle name="Pourcentage 6 3" xfId="8663" xr:uid="{00000000-0005-0000-0000-0000B0220000}"/>
    <cellStyle name="Pourcentage 7" xfId="8664" xr:uid="{00000000-0005-0000-0000-0000B1220000}"/>
    <cellStyle name="Pourcentage 7 2" xfId="8665" xr:uid="{00000000-0005-0000-0000-0000B2220000}"/>
    <cellStyle name="Pourcentage 7 2 2" xfId="8666" xr:uid="{00000000-0005-0000-0000-0000B3220000}"/>
    <cellStyle name="Pourcentage 7 3" xfId="8667" xr:uid="{00000000-0005-0000-0000-0000B4220000}"/>
    <cellStyle name="Pourcentage 8" xfId="8668" xr:uid="{00000000-0005-0000-0000-0000B5220000}"/>
    <cellStyle name="Pourcentage 8 2" xfId="8669" xr:uid="{00000000-0005-0000-0000-0000B6220000}"/>
    <cellStyle name="Pourcentage 9" xfId="8670" xr:uid="{00000000-0005-0000-0000-0000B7220000}"/>
    <cellStyle name="Poznámka" xfId="8671" xr:uid="{00000000-0005-0000-0000-0000B8220000}"/>
    <cellStyle name="Poznámka 2" xfId="8672" xr:uid="{00000000-0005-0000-0000-0000B9220000}"/>
    <cellStyle name="Poznámka 3" xfId="8673" xr:uid="{00000000-0005-0000-0000-0000BA220000}"/>
    <cellStyle name="Price" xfId="8674" xr:uid="{00000000-0005-0000-0000-0000BB220000}"/>
    <cellStyle name="Procent 2" xfId="8675" xr:uid="{00000000-0005-0000-0000-0000BC220000}"/>
    <cellStyle name="Procent 2 2" xfId="8676" xr:uid="{00000000-0005-0000-0000-0000BD220000}"/>
    <cellStyle name="Procent 2 2 2" xfId="8677" xr:uid="{00000000-0005-0000-0000-0000BE220000}"/>
    <cellStyle name="Procent 2 3" xfId="8678" xr:uid="{00000000-0005-0000-0000-0000BF220000}"/>
    <cellStyle name="Procent 2 3 2" xfId="8679" xr:uid="{00000000-0005-0000-0000-0000C0220000}"/>
    <cellStyle name="Procent 2 4" xfId="8680" xr:uid="{00000000-0005-0000-0000-0000C1220000}"/>
    <cellStyle name="Procent 3" xfId="8681" xr:uid="{00000000-0005-0000-0000-0000C2220000}"/>
    <cellStyle name="Procent 3 2" xfId="8682" xr:uid="{00000000-0005-0000-0000-0000C3220000}"/>
    <cellStyle name="Procentowy 2" xfId="8683" xr:uid="{00000000-0005-0000-0000-0000C4220000}"/>
    <cellStyle name="Procentowy 2 2" xfId="8684" xr:uid="{00000000-0005-0000-0000-0000C5220000}"/>
    <cellStyle name="Procentowy 3" xfId="8685" xr:uid="{00000000-0005-0000-0000-0000C6220000}"/>
    <cellStyle name="Profile" xfId="8686" xr:uid="{00000000-0005-0000-0000-0000C7220000}"/>
    <cellStyle name="Profit figure" xfId="8687" xr:uid="{00000000-0005-0000-0000-0000C8220000}"/>
    <cellStyle name="Propojená buňka" xfId="8688" xr:uid="{00000000-0005-0000-0000-0000C9220000}"/>
    <cellStyle name="Prosent" xfId="1" builtinId="5"/>
    <cellStyle name="Prosentti 2" xfId="8689" xr:uid="{00000000-0005-0000-0000-0000CA220000}"/>
    <cellStyle name="Prozent 2" xfId="8690" xr:uid="{00000000-0005-0000-0000-0000CB220000}"/>
    <cellStyle name="Prozent 2 2" xfId="8691" xr:uid="{00000000-0005-0000-0000-0000CC220000}"/>
    <cellStyle name="Prozent 2 2 2" xfId="8692" xr:uid="{00000000-0005-0000-0000-0000CD220000}"/>
    <cellStyle name="Prozent 2 3" xfId="8693" xr:uid="{00000000-0005-0000-0000-0000CE220000}"/>
    <cellStyle name="Prozent 2 3 2" xfId="14831" xr:uid="{00000000-0005-0000-0000-0000CF220000}"/>
    <cellStyle name="Prozent 2 4" xfId="8694" xr:uid="{00000000-0005-0000-0000-0000D0220000}"/>
    <cellStyle name="Prozent 3" xfId="8695" xr:uid="{00000000-0005-0000-0000-0000D1220000}"/>
    <cellStyle name="Prozent 3 2" xfId="8696" xr:uid="{00000000-0005-0000-0000-0000D2220000}"/>
    <cellStyle name="Prozent 3 3" xfId="8697" xr:uid="{00000000-0005-0000-0000-0000D3220000}"/>
    <cellStyle name="Prozent 3 4" xfId="8698" xr:uid="{00000000-0005-0000-0000-0000D4220000}"/>
    <cellStyle name="Prozent 4" xfId="8699" xr:uid="{00000000-0005-0000-0000-0000D5220000}"/>
    <cellStyle name="PSChar" xfId="8700" xr:uid="{00000000-0005-0000-0000-0000D6220000}"/>
    <cellStyle name="PSDate" xfId="8701" xr:uid="{00000000-0005-0000-0000-0000D7220000}"/>
    <cellStyle name="PSHeading" xfId="8702" xr:uid="{00000000-0005-0000-0000-0000D8220000}"/>
    <cellStyle name="PSHeading 2" xfId="8703" xr:uid="{00000000-0005-0000-0000-0000D9220000}"/>
    <cellStyle name="PSHeading 3" xfId="8704" xr:uid="{00000000-0005-0000-0000-0000DA220000}"/>
    <cellStyle name="PSInt" xfId="8705" xr:uid="{00000000-0005-0000-0000-0000DB220000}"/>
    <cellStyle name="PSSpacer" xfId="8706" xr:uid="{00000000-0005-0000-0000-0000DC220000}"/>
    <cellStyle name="Pyör. luku_Layo9704" xfId="8707" xr:uid="{00000000-0005-0000-0000-0000DD220000}"/>
    <cellStyle name="Pyör. valuutta_Layo9704" xfId="8708" xr:uid="{00000000-0005-0000-0000-0000DE220000}"/>
    <cellStyle name="quarterformat" xfId="8709" xr:uid="{00000000-0005-0000-0000-0000DF220000}"/>
    <cellStyle name="Rate" xfId="8710" xr:uid="{00000000-0005-0000-0000-0000E0220000}"/>
    <cellStyle name="Region" xfId="8711" xr:uid="{00000000-0005-0000-0000-0000E1220000}"/>
    <cellStyle name="région" xfId="8712" xr:uid="{00000000-0005-0000-0000-0000E2220000}"/>
    <cellStyle name="Region 2" xfId="8713" xr:uid="{00000000-0005-0000-0000-0000E3220000}"/>
    <cellStyle name="Region 3" xfId="8714" xr:uid="{00000000-0005-0000-0000-0000E4220000}"/>
    <cellStyle name="Remarque" xfId="8715" xr:uid="{00000000-0005-0000-0000-0000E5220000}"/>
    <cellStyle name="Remarque 2" xfId="8716" xr:uid="{00000000-0005-0000-0000-0000E6220000}"/>
    <cellStyle name="Remarque 2 2" xfId="8717" xr:uid="{00000000-0005-0000-0000-0000E7220000}"/>
    <cellStyle name="Remarque 3" xfId="8718" xr:uid="{00000000-0005-0000-0000-0000E8220000}"/>
    <cellStyle name="Remarque 4" xfId="8719" xr:uid="{00000000-0005-0000-0000-0000E9220000}"/>
    <cellStyle name="Remarque 5" xfId="8720" xr:uid="{00000000-0005-0000-0000-0000EA220000}"/>
    <cellStyle name="Résultat 1" xfId="8721" xr:uid="{00000000-0005-0000-0000-0000EB220000}"/>
    <cellStyle name="Results % 1 dp" xfId="8722" xr:uid="{00000000-0005-0000-0000-0000EC220000}"/>
    <cellStyle name="Results 0 dp" xfId="8723" xr:uid="{00000000-0005-0000-0000-0000ED220000}"/>
    <cellStyle name="Results 2 dp" xfId="8724" xr:uid="{00000000-0005-0000-0000-0000EE220000}"/>
    <cellStyle name="rmlegd" xfId="8725" xr:uid="{00000000-0005-0000-0000-0000EF220000}"/>
    <cellStyle name="rmlegd 2" xfId="8726" xr:uid="{00000000-0005-0000-0000-0000F0220000}"/>
    <cellStyle name="rmlegd 3" xfId="8727" xr:uid="{00000000-0005-0000-0000-0000F1220000}"/>
    <cellStyle name="rmlegd 4" xfId="8728" xr:uid="{00000000-0005-0000-0000-0000F2220000}"/>
    <cellStyle name="rmlegd 5" xfId="8729" xr:uid="{00000000-0005-0000-0000-0000F3220000}"/>
    <cellStyle name="rmlegd 6" xfId="8730" xr:uid="{00000000-0005-0000-0000-0000F4220000}"/>
    <cellStyle name="ROA Ref" xfId="8731" xr:uid="{00000000-0005-0000-0000-0000F5220000}"/>
    <cellStyle name="ROA Ref 2" xfId="8732" xr:uid="{00000000-0005-0000-0000-0000F6220000}"/>
    <cellStyle name="ROA Ref 3" xfId="8733" xr:uid="{00000000-0005-0000-0000-0000F7220000}"/>
    <cellStyle name="Rõhk1" xfId="8734" xr:uid="{00000000-0005-0000-0000-0000F8220000}"/>
    <cellStyle name="Rõhk1 2" xfId="8735" xr:uid="{00000000-0005-0000-0000-0000F9220000}"/>
    <cellStyle name="Rõhk1 3" xfId="8736" xr:uid="{00000000-0005-0000-0000-0000FA220000}"/>
    <cellStyle name="Rõhk2" xfId="8737" xr:uid="{00000000-0005-0000-0000-0000FB220000}"/>
    <cellStyle name="Rõhk2 2" xfId="8738" xr:uid="{00000000-0005-0000-0000-0000FC220000}"/>
    <cellStyle name="Rõhk2 3" xfId="8739" xr:uid="{00000000-0005-0000-0000-0000FD220000}"/>
    <cellStyle name="Rõhk3" xfId="8740" xr:uid="{00000000-0005-0000-0000-0000FE220000}"/>
    <cellStyle name="Rõhk3 2" xfId="8741" xr:uid="{00000000-0005-0000-0000-0000FF220000}"/>
    <cellStyle name="Rõhk3 3" xfId="8742" xr:uid="{00000000-0005-0000-0000-000000230000}"/>
    <cellStyle name="Rõhk4" xfId="8743" xr:uid="{00000000-0005-0000-0000-000001230000}"/>
    <cellStyle name="Rõhk4 2" xfId="8744" xr:uid="{00000000-0005-0000-0000-000002230000}"/>
    <cellStyle name="Rõhk4 3" xfId="8745" xr:uid="{00000000-0005-0000-0000-000003230000}"/>
    <cellStyle name="Rõhk5" xfId="8746" xr:uid="{00000000-0005-0000-0000-000004230000}"/>
    <cellStyle name="Rõhk5 2" xfId="8747" xr:uid="{00000000-0005-0000-0000-000005230000}"/>
    <cellStyle name="Rõhk5 3" xfId="8748" xr:uid="{00000000-0005-0000-0000-000006230000}"/>
    <cellStyle name="Rõhk6" xfId="8749" xr:uid="{00000000-0005-0000-0000-000007230000}"/>
    <cellStyle name="Rõhk6 2" xfId="8750" xr:uid="{00000000-0005-0000-0000-000008230000}"/>
    <cellStyle name="Rõhk6 3" xfId="8751" xr:uid="{00000000-0005-0000-0000-000009230000}"/>
    <cellStyle name="Rossz 2" xfId="8752" xr:uid="{00000000-0005-0000-0000-00000A230000}"/>
    <cellStyle name="Rouge" xfId="8753" xr:uid="{00000000-0005-0000-0000-00000B230000}"/>
    <cellStyle name="Rouge 2" xfId="8754" xr:uid="{00000000-0005-0000-0000-00000C230000}"/>
    <cellStyle name="Rouge 3" xfId="8755" xr:uid="{00000000-0005-0000-0000-00000D230000}"/>
    <cellStyle name="Rouge 3 2" xfId="8756" xr:uid="{00000000-0005-0000-0000-00000E230000}"/>
    <cellStyle name="Rouge 4" xfId="8757" xr:uid="{00000000-0005-0000-0000-00000F230000}"/>
    <cellStyle name="Rouge 5" xfId="8758" xr:uid="{00000000-0005-0000-0000-000010230000}"/>
    <cellStyle name="Rubrik" xfId="8759" xr:uid="{00000000-0005-0000-0000-000011230000}"/>
    <cellStyle name="Rubrik 1" xfId="8760" xr:uid="{00000000-0005-0000-0000-000012230000}"/>
    <cellStyle name="Rubrik 2" xfId="8761" xr:uid="{00000000-0005-0000-0000-000013230000}"/>
    <cellStyle name="Rubrik 3" xfId="8762" xr:uid="{00000000-0005-0000-0000-000014230000}"/>
    <cellStyle name="Rubrik 4" xfId="8763" xr:uid="{00000000-0005-0000-0000-000015230000}"/>
    <cellStyle name="Rubrik_Table 2 Unit Rate" xfId="8764" xr:uid="{00000000-0005-0000-0000-000016230000}"/>
    <cellStyle name="Salida" xfId="8765" xr:uid="{00000000-0005-0000-0000-000017230000}"/>
    <cellStyle name="Salida 10" xfId="8766" xr:uid="{00000000-0005-0000-0000-000018230000}"/>
    <cellStyle name="Salida 10 2" xfId="8767" xr:uid="{00000000-0005-0000-0000-000019230000}"/>
    <cellStyle name="Salida 10 2 2" xfId="8768" xr:uid="{00000000-0005-0000-0000-00001A230000}"/>
    <cellStyle name="Salida 10 2 3" xfId="8769" xr:uid="{00000000-0005-0000-0000-00001B230000}"/>
    <cellStyle name="Salida 10 2 4" xfId="8770" xr:uid="{00000000-0005-0000-0000-00001C230000}"/>
    <cellStyle name="Salida 10 2 5" xfId="8771" xr:uid="{00000000-0005-0000-0000-00001D230000}"/>
    <cellStyle name="Salida 10 3" xfId="8772" xr:uid="{00000000-0005-0000-0000-00001E230000}"/>
    <cellStyle name="Salida 10 4" xfId="8773" xr:uid="{00000000-0005-0000-0000-00001F230000}"/>
    <cellStyle name="Salida 10 5" xfId="8774" xr:uid="{00000000-0005-0000-0000-000020230000}"/>
    <cellStyle name="Salida 10 6" xfId="8775" xr:uid="{00000000-0005-0000-0000-000021230000}"/>
    <cellStyle name="Salida 11" xfId="8776" xr:uid="{00000000-0005-0000-0000-000022230000}"/>
    <cellStyle name="Salida 11 2" xfId="8777" xr:uid="{00000000-0005-0000-0000-000023230000}"/>
    <cellStyle name="Salida 11 2 2" xfId="8778" xr:uid="{00000000-0005-0000-0000-000024230000}"/>
    <cellStyle name="Salida 11 2 3" xfId="8779" xr:uid="{00000000-0005-0000-0000-000025230000}"/>
    <cellStyle name="Salida 11 2 4" xfId="8780" xr:uid="{00000000-0005-0000-0000-000026230000}"/>
    <cellStyle name="Salida 11 2 5" xfId="8781" xr:uid="{00000000-0005-0000-0000-000027230000}"/>
    <cellStyle name="Salida 11 3" xfId="8782" xr:uid="{00000000-0005-0000-0000-000028230000}"/>
    <cellStyle name="Salida 11 4" xfId="8783" xr:uid="{00000000-0005-0000-0000-000029230000}"/>
    <cellStyle name="Salida 11 5" xfId="8784" xr:uid="{00000000-0005-0000-0000-00002A230000}"/>
    <cellStyle name="Salida 11 6" xfId="8785" xr:uid="{00000000-0005-0000-0000-00002B230000}"/>
    <cellStyle name="Salida 12" xfId="8786" xr:uid="{00000000-0005-0000-0000-00002C230000}"/>
    <cellStyle name="Salida 12 2" xfId="8787" xr:uid="{00000000-0005-0000-0000-00002D230000}"/>
    <cellStyle name="Salida 12 2 2" xfId="8788" xr:uid="{00000000-0005-0000-0000-00002E230000}"/>
    <cellStyle name="Salida 12 2 3" xfId="8789" xr:uid="{00000000-0005-0000-0000-00002F230000}"/>
    <cellStyle name="Salida 12 2 4" xfId="8790" xr:uid="{00000000-0005-0000-0000-000030230000}"/>
    <cellStyle name="Salida 12 2 5" xfId="8791" xr:uid="{00000000-0005-0000-0000-000031230000}"/>
    <cellStyle name="Salida 12 3" xfId="8792" xr:uid="{00000000-0005-0000-0000-000032230000}"/>
    <cellStyle name="Salida 12 4" xfId="8793" xr:uid="{00000000-0005-0000-0000-000033230000}"/>
    <cellStyle name="Salida 12 5" xfId="8794" xr:uid="{00000000-0005-0000-0000-000034230000}"/>
    <cellStyle name="Salida 12 6" xfId="8795" xr:uid="{00000000-0005-0000-0000-000035230000}"/>
    <cellStyle name="Salida 13" xfId="8796" xr:uid="{00000000-0005-0000-0000-000036230000}"/>
    <cellStyle name="Salida 13 2" xfId="8797" xr:uid="{00000000-0005-0000-0000-000037230000}"/>
    <cellStyle name="Salida 13 2 2" xfId="8798" xr:uid="{00000000-0005-0000-0000-000038230000}"/>
    <cellStyle name="Salida 13 2 3" xfId="8799" xr:uid="{00000000-0005-0000-0000-000039230000}"/>
    <cellStyle name="Salida 13 2 4" xfId="8800" xr:uid="{00000000-0005-0000-0000-00003A230000}"/>
    <cellStyle name="Salida 13 2 5" xfId="8801" xr:uid="{00000000-0005-0000-0000-00003B230000}"/>
    <cellStyle name="Salida 13 3" xfId="8802" xr:uid="{00000000-0005-0000-0000-00003C230000}"/>
    <cellStyle name="Salida 13 4" xfId="8803" xr:uid="{00000000-0005-0000-0000-00003D230000}"/>
    <cellStyle name="Salida 13 5" xfId="8804" xr:uid="{00000000-0005-0000-0000-00003E230000}"/>
    <cellStyle name="Salida 13 6" xfId="8805" xr:uid="{00000000-0005-0000-0000-00003F230000}"/>
    <cellStyle name="Salida 14" xfId="8806" xr:uid="{00000000-0005-0000-0000-000040230000}"/>
    <cellStyle name="Salida 14 2" xfId="8807" xr:uid="{00000000-0005-0000-0000-000041230000}"/>
    <cellStyle name="Salida 14 2 2" xfId="8808" xr:uid="{00000000-0005-0000-0000-000042230000}"/>
    <cellStyle name="Salida 14 2 3" xfId="8809" xr:uid="{00000000-0005-0000-0000-000043230000}"/>
    <cellStyle name="Salida 14 2 4" xfId="8810" xr:uid="{00000000-0005-0000-0000-000044230000}"/>
    <cellStyle name="Salida 14 2 5" xfId="8811" xr:uid="{00000000-0005-0000-0000-000045230000}"/>
    <cellStyle name="Salida 14 3" xfId="8812" xr:uid="{00000000-0005-0000-0000-000046230000}"/>
    <cellStyle name="Salida 14 4" xfId="8813" xr:uid="{00000000-0005-0000-0000-000047230000}"/>
    <cellStyle name="Salida 14 5" xfId="8814" xr:uid="{00000000-0005-0000-0000-000048230000}"/>
    <cellStyle name="Salida 14 6" xfId="8815" xr:uid="{00000000-0005-0000-0000-000049230000}"/>
    <cellStyle name="Salida 15" xfId="8816" xr:uid="{00000000-0005-0000-0000-00004A230000}"/>
    <cellStyle name="Salida 15 2" xfId="8817" xr:uid="{00000000-0005-0000-0000-00004B230000}"/>
    <cellStyle name="Salida 15 2 2" xfId="8818" xr:uid="{00000000-0005-0000-0000-00004C230000}"/>
    <cellStyle name="Salida 15 2 3" xfId="8819" xr:uid="{00000000-0005-0000-0000-00004D230000}"/>
    <cellStyle name="Salida 15 2 4" xfId="8820" xr:uid="{00000000-0005-0000-0000-00004E230000}"/>
    <cellStyle name="Salida 15 2 5" xfId="8821" xr:uid="{00000000-0005-0000-0000-00004F230000}"/>
    <cellStyle name="Salida 15 3" xfId="8822" xr:uid="{00000000-0005-0000-0000-000050230000}"/>
    <cellStyle name="Salida 15 4" xfId="8823" xr:uid="{00000000-0005-0000-0000-000051230000}"/>
    <cellStyle name="Salida 15 5" xfId="8824" xr:uid="{00000000-0005-0000-0000-000052230000}"/>
    <cellStyle name="Salida 15 6" xfId="8825" xr:uid="{00000000-0005-0000-0000-000053230000}"/>
    <cellStyle name="Salida 16" xfId="8826" xr:uid="{00000000-0005-0000-0000-000054230000}"/>
    <cellStyle name="Salida 17" xfId="8827" xr:uid="{00000000-0005-0000-0000-000055230000}"/>
    <cellStyle name="Salida 18" xfId="8828" xr:uid="{00000000-0005-0000-0000-000056230000}"/>
    <cellStyle name="Salida 19" xfId="8829" xr:uid="{00000000-0005-0000-0000-000057230000}"/>
    <cellStyle name="Salida 2" xfId="8830" xr:uid="{00000000-0005-0000-0000-000058230000}"/>
    <cellStyle name="Salida 2 2" xfId="8831" xr:uid="{00000000-0005-0000-0000-000059230000}"/>
    <cellStyle name="Salida 2 2 2" xfId="8832" xr:uid="{00000000-0005-0000-0000-00005A230000}"/>
    <cellStyle name="Salida 2 2 3" xfId="8833" xr:uid="{00000000-0005-0000-0000-00005B230000}"/>
    <cellStyle name="Salida 2 2 4" xfId="8834" xr:uid="{00000000-0005-0000-0000-00005C230000}"/>
    <cellStyle name="Salida 2 2 5" xfId="8835" xr:uid="{00000000-0005-0000-0000-00005D230000}"/>
    <cellStyle name="Salida 2 3" xfId="8836" xr:uid="{00000000-0005-0000-0000-00005E230000}"/>
    <cellStyle name="Salida 2 4" xfId="8837" xr:uid="{00000000-0005-0000-0000-00005F230000}"/>
    <cellStyle name="Salida 2 5" xfId="8838" xr:uid="{00000000-0005-0000-0000-000060230000}"/>
    <cellStyle name="Salida 2 6" xfId="8839" xr:uid="{00000000-0005-0000-0000-000061230000}"/>
    <cellStyle name="Salida 3" xfId="8840" xr:uid="{00000000-0005-0000-0000-000062230000}"/>
    <cellStyle name="Salida 3 2" xfId="8841" xr:uid="{00000000-0005-0000-0000-000063230000}"/>
    <cellStyle name="Salida 3 2 2" xfId="8842" xr:uid="{00000000-0005-0000-0000-000064230000}"/>
    <cellStyle name="Salida 3 2 3" xfId="8843" xr:uid="{00000000-0005-0000-0000-000065230000}"/>
    <cellStyle name="Salida 3 2 4" xfId="8844" xr:uid="{00000000-0005-0000-0000-000066230000}"/>
    <cellStyle name="Salida 3 2 5" xfId="8845" xr:uid="{00000000-0005-0000-0000-000067230000}"/>
    <cellStyle name="Salida 3 3" xfId="8846" xr:uid="{00000000-0005-0000-0000-000068230000}"/>
    <cellStyle name="Salida 3 4" xfId="8847" xr:uid="{00000000-0005-0000-0000-000069230000}"/>
    <cellStyle name="Salida 3 5" xfId="8848" xr:uid="{00000000-0005-0000-0000-00006A230000}"/>
    <cellStyle name="Salida 3 6" xfId="8849" xr:uid="{00000000-0005-0000-0000-00006B230000}"/>
    <cellStyle name="Salida 4" xfId="8850" xr:uid="{00000000-0005-0000-0000-00006C230000}"/>
    <cellStyle name="Salida 4 2" xfId="8851" xr:uid="{00000000-0005-0000-0000-00006D230000}"/>
    <cellStyle name="Salida 4 2 2" xfId="8852" xr:uid="{00000000-0005-0000-0000-00006E230000}"/>
    <cellStyle name="Salida 4 2 3" xfId="8853" xr:uid="{00000000-0005-0000-0000-00006F230000}"/>
    <cellStyle name="Salida 4 2 4" xfId="8854" xr:uid="{00000000-0005-0000-0000-000070230000}"/>
    <cellStyle name="Salida 4 2 5" xfId="8855" xr:uid="{00000000-0005-0000-0000-000071230000}"/>
    <cellStyle name="Salida 4 3" xfId="8856" xr:uid="{00000000-0005-0000-0000-000072230000}"/>
    <cellStyle name="Salida 4 4" xfId="8857" xr:uid="{00000000-0005-0000-0000-000073230000}"/>
    <cellStyle name="Salida 4 5" xfId="8858" xr:uid="{00000000-0005-0000-0000-000074230000}"/>
    <cellStyle name="Salida 4 6" xfId="8859" xr:uid="{00000000-0005-0000-0000-000075230000}"/>
    <cellStyle name="Salida 5" xfId="8860" xr:uid="{00000000-0005-0000-0000-000076230000}"/>
    <cellStyle name="Salida 5 2" xfId="8861" xr:uid="{00000000-0005-0000-0000-000077230000}"/>
    <cellStyle name="Salida 5 2 2" xfId="8862" xr:uid="{00000000-0005-0000-0000-000078230000}"/>
    <cellStyle name="Salida 5 2 3" xfId="8863" xr:uid="{00000000-0005-0000-0000-000079230000}"/>
    <cellStyle name="Salida 5 2 4" xfId="8864" xr:uid="{00000000-0005-0000-0000-00007A230000}"/>
    <cellStyle name="Salida 5 2 5" xfId="8865" xr:uid="{00000000-0005-0000-0000-00007B230000}"/>
    <cellStyle name="Salida 5 3" xfId="8866" xr:uid="{00000000-0005-0000-0000-00007C230000}"/>
    <cellStyle name="Salida 5 4" xfId="8867" xr:uid="{00000000-0005-0000-0000-00007D230000}"/>
    <cellStyle name="Salida 5 5" xfId="8868" xr:uid="{00000000-0005-0000-0000-00007E230000}"/>
    <cellStyle name="Salida 5 6" xfId="8869" xr:uid="{00000000-0005-0000-0000-00007F230000}"/>
    <cellStyle name="Salida 6" xfId="8870" xr:uid="{00000000-0005-0000-0000-000080230000}"/>
    <cellStyle name="Salida 6 2" xfId="8871" xr:uid="{00000000-0005-0000-0000-000081230000}"/>
    <cellStyle name="Salida 6 2 2" xfId="8872" xr:uid="{00000000-0005-0000-0000-000082230000}"/>
    <cellStyle name="Salida 6 2 3" xfId="8873" xr:uid="{00000000-0005-0000-0000-000083230000}"/>
    <cellStyle name="Salida 6 2 4" xfId="8874" xr:uid="{00000000-0005-0000-0000-000084230000}"/>
    <cellStyle name="Salida 6 2 5" xfId="8875" xr:uid="{00000000-0005-0000-0000-000085230000}"/>
    <cellStyle name="Salida 6 3" xfId="8876" xr:uid="{00000000-0005-0000-0000-000086230000}"/>
    <cellStyle name="Salida 6 4" xfId="8877" xr:uid="{00000000-0005-0000-0000-000087230000}"/>
    <cellStyle name="Salida 6 5" xfId="8878" xr:uid="{00000000-0005-0000-0000-000088230000}"/>
    <cellStyle name="Salida 6 6" xfId="8879" xr:uid="{00000000-0005-0000-0000-000089230000}"/>
    <cellStyle name="Salida 7" xfId="8880" xr:uid="{00000000-0005-0000-0000-00008A230000}"/>
    <cellStyle name="Salida 7 2" xfId="8881" xr:uid="{00000000-0005-0000-0000-00008B230000}"/>
    <cellStyle name="Salida 7 2 2" xfId="8882" xr:uid="{00000000-0005-0000-0000-00008C230000}"/>
    <cellStyle name="Salida 7 2 3" xfId="8883" xr:uid="{00000000-0005-0000-0000-00008D230000}"/>
    <cellStyle name="Salida 7 2 4" xfId="8884" xr:uid="{00000000-0005-0000-0000-00008E230000}"/>
    <cellStyle name="Salida 7 2 5" xfId="8885" xr:uid="{00000000-0005-0000-0000-00008F230000}"/>
    <cellStyle name="Salida 7 3" xfId="8886" xr:uid="{00000000-0005-0000-0000-000090230000}"/>
    <cellStyle name="Salida 7 4" xfId="8887" xr:uid="{00000000-0005-0000-0000-000091230000}"/>
    <cellStyle name="Salida 7 5" xfId="8888" xr:uid="{00000000-0005-0000-0000-000092230000}"/>
    <cellStyle name="Salida 7 6" xfId="8889" xr:uid="{00000000-0005-0000-0000-000093230000}"/>
    <cellStyle name="Salida 8" xfId="8890" xr:uid="{00000000-0005-0000-0000-000094230000}"/>
    <cellStyle name="Salida 8 2" xfId="8891" xr:uid="{00000000-0005-0000-0000-000095230000}"/>
    <cellStyle name="Salida 8 2 2" xfId="8892" xr:uid="{00000000-0005-0000-0000-000096230000}"/>
    <cellStyle name="Salida 8 2 3" xfId="8893" xr:uid="{00000000-0005-0000-0000-000097230000}"/>
    <cellStyle name="Salida 8 2 4" xfId="8894" xr:uid="{00000000-0005-0000-0000-000098230000}"/>
    <cellStyle name="Salida 8 2 5" xfId="8895" xr:uid="{00000000-0005-0000-0000-000099230000}"/>
    <cellStyle name="Salida 8 3" xfId="8896" xr:uid="{00000000-0005-0000-0000-00009A230000}"/>
    <cellStyle name="Salida 8 4" xfId="8897" xr:uid="{00000000-0005-0000-0000-00009B230000}"/>
    <cellStyle name="Salida 8 5" xfId="8898" xr:uid="{00000000-0005-0000-0000-00009C230000}"/>
    <cellStyle name="Salida 8 6" xfId="8899" xr:uid="{00000000-0005-0000-0000-00009D230000}"/>
    <cellStyle name="Salida 9" xfId="8900" xr:uid="{00000000-0005-0000-0000-00009E230000}"/>
    <cellStyle name="Salida 9 2" xfId="8901" xr:uid="{00000000-0005-0000-0000-00009F230000}"/>
    <cellStyle name="Salida 9 2 2" xfId="8902" xr:uid="{00000000-0005-0000-0000-0000A0230000}"/>
    <cellStyle name="Salida 9 2 3" xfId="8903" xr:uid="{00000000-0005-0000-0000-0000A1230000}"/>
    <cellStyle name="Salida 9 2 4" xfId="8904" xr:uid="{00000000-0005-0000-0000-0000A2230000}"/>
    <cellStyle name="Salida 9 2 5" xfId="8905" xr:uid="{00000000-0005-0000-0000-0000A3230000}"/>
    <cellStyle name="Salida 9 3" xfId="8906" xr:uid="{00000000-0005-0000-0000-0000A4230000}"/>
    <cellStyle name="Salida 9 4" xfId="8907" xr:uid="{00000000-0005-0000-0000-0000A5230000}"/>
    <cellStyle name="Salida 9 5" xfId="8908" xr:uid="{00000000-0005-0000-0000-0000A6230000}"/>
    <cellStyle name="Salida 9 6" xfId="8909" xr:uid="{00000000-0005-0000-0000-0000A7230000}"/>
    <cellStyle name="Salida_KTR An-Abflug" xfId="14836" xr:uid="{00000000-0005-0000-0000-0000A8230000}"/>
    <cellStyle name="Sammenkædet celle" xfId="8910" xr:uid="{00000000-0005-0000-0000-0000A9230000}"/>
    <cellStyle name="SAPBEXaggData" xfId="8911" xr:uid="{00000000-0005-0000-0000-0000AA230000}"/>
    <cellStyle name="SAPBEXaggData 10" xfId="8912" xr:uid="{00000000-0005-0000-0000-0000AB230000}"/>
    <cellStyle name="SAPBEXaggData 10 2" xfId="8913" xr:uid="{00000000-0005-0000-0000-0000AC230000}"/>
    <cellStyle name="SAPBEXaggData 10 2 2" xfId="8914" xr:uid="{00000000-0005-0000-0000-0000AD230000}"/>
    <cellStyle name="SAPBEXaggData 10 2 3" xfId="8915" xr:uid="{00000000-0005-0000-0000-0000AE230000}"/>
    <cellStyle name="SAPBEXaggData 10 2 4" xfId="8916" xr:uid="{00000000-0005-0000-0000-0000AF230000}"/>
    <cellStyle name="SAPBEXaggData 10 2 5" xfId="8917" xr:uid="{00000000-0005-0000-0000-0000B0230000}"/>
    <cellStyle name="SAPBEXaggData 10 3" xfId="8918" xr:uid="{00000000-0005-0000-0000-0000B1230000}"/>
    <cellStyle name="SAPBEXaggData 10 4" xfId="8919" xr:uid="{00000000-0005-0000-0000-0000B2230000}"/>
    <cellStyle name="SAPBEXaggData 10 5" xfId="8920" xr:uid="{00000000-0005-0000-0000-0000B3230000}"/>
    <cellStyle name="SAPBEXaggData 10 6" xfId="8921" xr:uid="{00000000-0005-0000-0000-0000B4230000}"/>
    <cellStyle name="SAPBEXaggData 11" xfId="8922" xr:uid="{00000000-0005-0000-0000-0000B5230000}"/>
    <cellStyle name="SAPBEXaggData 11 2" xfId="8923" xr:uid="{00000000-0005-0000-0000-0000B6230000}"/>
    <cellStyle name="SAPBEXaggData 11 2 2" xfId="8924" xr:uid="{00000000-0005-0000-0000-0000B7230000}"/>
    <cellStyle name="SAPBEXaggData 11 2 3" xfId="8925" xr:uid="{00000000-0005-0000-0000-0000B8230000}"/>
    <cellStyle name="SAPBEXaggData 11 2 4" xfId="8926" xr:uid="{00000000-0005-0000-0000-0000B9230000}"/>
    <cellStyle name="SAPBEXaggData 11 2 5" xfId="8927" xr:uid="{00000000-0005-0000-0000-0000BA230000}"/>
    <cellStyle name="SAPBEXaggData 11 3" xfId="8928" xr:uid="{00000000-0005-0000-0000-0000BB230000}"/>
    <cellStyle name="SAPBEXaggData 11 4" xfId="8929" xr:uid="{00000000-0005-0000-0000-0000BC230000}"/>
    <cellStyle name="SAPBEXaggData 11 5" xfId="8930" xr:uid="{00000000-0005-0000-0000-0000BD230000}"/>
    <cellStyle name="SAPBEXaggData 11 6" xfId="8931" xr:uid="{00000000-0005-0000-0000-0000BE230000}"/>
    <cellStyle name="SAPBEXaggData 12" xfId="8932" xr:uid="{00000000-0005-0000-0000-0000BF230000}"/>
    <cellStyle name="SAPBEXaggData 12 2" xfId="8933" xr:uid="{00000000-0005-0000-0000-0000C0230000}"/>
    <cellStyle name="SAPBEXaggData 12 2 2" xfId="8934" xr:uid="{00000000-0005-0000-0000-0000C1230000}"/>
    <cellStyle name="SAPBEXaggData 12 2 3" xfId="8935" xr:uid="{00000000-0005-0000-0000-0000C2230000}"/>
    <cellStyle name="SAPBEXaggData 12 2 4" xfId="8936" xr:uid="{00000000-0005-0000-0000-0000C3230000}"/>
    <cellStyle name="SAPBEXaggData 12 2 5" xfId="8937" xr:uid="{00000000-0005-0000-0000-0000C4230000}"/>
    <cellStyle name="SAPBEXaggData 12 3" xfId="8938" xr:uid="{00000000-0005-0000-0000-0000C5230000}"/>
    <cellStyle name="SAPBEXaggData 12 4" xfId="8939" xr:uid="{00000000-0005-0000-0000-0000C6230000}"/>
    <cellStyle name="SAPBEXaggData 12 5" xfId="8940" xr:uid="{00000000-0005-0000-0000-0000C7230000}"/>
    <cellStyle name="SAPBEXaggData 12 6" xfId="8941" xr:uid="{00000000-0005-0000-0000-0000C8230000}"/>
    <cellStyle name="SAPBEXaggData 13" xfId="8942" xr:uid="{00000000-0005-0000-0000-0000C9230000}"/>
    <cellStyle name="SAPBEXaggData 13 2" xfId="8943" xr:uid="{00000000-0005-0000-0000-0000CA230000}"/>
    <cellStyle name="SAPBEXaggData 13 2 2" xfId="8944" xr:uid="{00000000-0005-0000-0000-0000CB230000}"/>
    <cellStyle name="SAPBEXaggData 13 2 3" xfId="8945" xr:uid="{00000000-0005-0000-0000-0000CC230000}"/>
    <cellStyle name="SAPBEXaggData 13 2 4" xfId="8946" xr:uid="{00000000-0005-0000-0000-0000CD230000}"/>
    <cellStyle name="SAPBEXaggData 13 2 5" xfId="8947" xr:uid="{00000000-0005-0000-0000-0000CE230000}"/>
    <cellStyle name="SAPBEXaggData 13 3" xfId="8948" xr:uid="{00000000-0005-0000-0000-0000CF230000}"/>
    <cellStyle name="SAPBEXaggData 13 4" xfId="8949" xr:uid="{00000000-0005-0000-0000-0000D0230000}"/>
    <cellStyle name="SAPBEXaggData 13 5" xfId="8950" xr:uid="{00000000-0005-0000-0000-0000D1230000}"/>
    <cellStyle name="SAPBEXaggData 13 6" xfId="8951" xr:uid="{00000000-0005-0000-0000-0000D2230000}"/>
    <cellStyle name="SAPBEXaggData 14" xfId="8952" xr:uid="{00000000-0005-0000-0000-0000D3230000}"/>
    <cellStyle name="SAPBEXaggData 14 2" xfId="8953" xr:uid="{00000000-0005-0000-0000-0000D4230000}"/>
    <cellStyle name="SAPBEXaggData 14 2 2" xfId="8954" xr:uid="{00000000-0005-0000-0000-0000D5230000}"/>
    <cellStyle name="SAPBEXaggData 14 2 3" xfId="8955" xr:uid="{00000000-0005-0000-0000-0000D6230000}"/>
    <cellStyle name="SAPBEXaggData 14 2 4" xfId="8956" xr:uid="{00000000-0005-0000-0000-0000D7230000}"/>
    <cellStyle name="SAPBEXaggData 14 2 5" xfId="8957" xr:uid="{00000000-0005-0000-0000-0000D8230000}"/>
    <cellStyle name="SAPBEXaggData 14 3" xfId="8958" xr:uid="{00000000-0005-0000-0000-0000D9230000}"/>
    <cellStyle name="SAPBEXaggData 14 4" xfId="8959" xr:uid="{00000000-0005-0000-0000-0000DA230000}"/>
    <cellStyle name="SAPBEXaggData 14 5" xfId="8960" xr:uid="{00000000-0005-0000-0000-0000DB230000}"/>
    <cellStyle name="SAPBEXaggData 14 6" xfId="8961" xr:uid="{00000000-0005-0000-0000-0000DC230000}"/>
    <cellStyle name="SAPBEXaggData 15" xfId="8962" xr:uid="{00000000-0005-0000-0000-0000DD230000}"/>
    <cellStyle name="SAPBEXaggData 15 2" xfId="8963" xr:uid="{00000000-0005-0000-0000-0000DE230000}"/>
    <cellStyle name="SAPBEXaggData 15 2 2" xfId="8964" xr:uid="{00000000-0005-0000-0000-0000DF230000}"/>
    <cellStyle name="SAPBEXaggData 15 2 3" xfId="8965" xr:uid="{00000000-0005-0000-0000-0000E0230000}"/>
    <cellStyle name="SAPBEXaggData 15 2 4" xfId="8966" xr:uid="{00000000-0005-0000-0000-0000E1230000}"/>
    <cellStyle name="SAPBEXaggData 15 2 5" xfId="8967" xr:uid="{00000000-0005-0000-0000-0000E2230000}"/>
    <cellStyle name="SAPBEXaggData 15 3" xfId="8968" xr:uid="{00000000-0005-0000-0000-0000E3230000}"/>
    <cellStyle name="SAPBEXaggData 15 4" xfId="8969" xr:uid="{00000000-0005-0000-0000-0000E4230000}"/>
    <cellStyle name="SAPBEXaggData 15 5" xfId="8970" xr:uid="{00000000-0005-0000-0000-0000E5230000}"/>
    <cellStyle name="SAPBEXaggData 15 6" xfId="8971" xr:uid="{00000000-0005-0000-0000-0000E6230000}"/>
    <cellStyle name="SAPBEXaggData 16" xfId="8972" xr:uid="{00000000-0005-0000-0000-0000E7230000}"/>
    <cellStyle name="SAPBEXaggData 17" xfId="8973" xr:uid="{00000000-0005-0000-0000-0000E8230000}"/>
    <cellStyle name="SAPBEXaggData 18" xfId="8974" xr:uid="{00000000-0005-0000-0000-0000E9230000}"/>
    <cellStyle name="SAPBEXaggData 19" xfId="8975" xr:uid="{00000000-0005-0000-0000-0000EA230000}"/>
    <cellStyle name="SAPBEXaggData 2" xfId="8976" xr:uid="{00000000-0005-0000-0000-0000EB230000}"/>
    <cellStyle name="SAPBEXaggData 2 2" xfId="8977" xr:uid="{00000000-0005-0000-0000-0000EC230000}"/>
    <cellStyle name="SAPBEXaggData 2 2 2" xfId="8978" xr:uid="{00000000-0005-0000-0000-0000ED230000}"/>
    <cellStyle name="SAPBEXaggData 2 2 3" xfId="8979" xr:uid="{00000000-0005-0000-0000-0000EE230000}"/>
    <cellStyle name="SAPBEXaggData 2 2 4" xfId="8980" xr:uid="{00000000-0005-0000-0000-0000EF230000}"/>
    <cellStyle name="SAPBEXaggData 2 2 5" xfId="8981" xr:uid="{00000000-0005-0000-0000-0000F0230000}"/>
    <cellStyle name="SAPBEXaggData 2 3" xfId="8982" xr:uid="{00000000-0005-0000-0000-0000F1230000}"/>
    <cellStyle name="SAPBEXaggData 2 4" xfId="8983" xr:uid="{00000000-0005-0000-0000-0000F2230000}"/>
    <cellStyle name="SAPBEXaggData 2 5" xfId="8984" xr:uid="{00000000-0005-0000-0000-0000F3230000}"/>
    <cellStyle name="SAPBEXaggData 2 6" xfId="8985" xr:uid="{00000000-0005-0000-0000-0000F4230000}"/>
    <cellStyle name="SAPBEXaggData 3" xfId="8986" xr:uid="{00000000-0005-0000-0000-0000F5230000}"/>
    <cellStyle name="SAPBEXaggData 3 2" xfId="8987" xr:uid="{00000000-0005-0000-0000-0000F6230000}"/>
    <cellStyle name="SAPBEXaggData 3 2 2" xfId="8988" xr:uid="{00000000-0005-0000-0000-0000F7230000}"/>
    <cellStyle name="SAPBEXaggData 3 2 3" xfId="8989" xr:uid="{00000000-0005-0000-0000-0000F8230000}"/>
    <cellStyle name="SAPBEXaggData 3 2 4" xfId="8990" xr:uid="{00000000-0005-0000-0000-0000F9230000}"/>
    <cellStyle name="SAPBEXaggData 3 2 5" xfId="8991" xr:uid="{00000000-0005-0000-0000-0000FA230000}"/>
    <cellStyle name="SAPBEXaggData 3 3" xfId="8992" xr:uid="{00000000-0005-0000-0000-0000FB230000}"/>
    <cellStyle name="SAPBEXaggData 3 4" xfId="8993" xr:uid="{00000000-0005-0000-0000-0000FC230000}"/>
    <cellStyle name="SAPBEXaggData 3 5" xfId="8994" xr:uid="{00000000-0005-0000-0000-0000FD230000}"/>
    <cellStyle name="SAPBEXaggData 3 6" xfId="8995" xr:uid="{00000000-0005-0000-0000-0000FE230000}"/>
    <cellStyle name="SAPBEXaggData 4" xfId="8996" xr:uid="{00000000-0005-0000-0000-0000FF230000}"/>
    <cellStyle name="SAPBEXaggData 4 2" xfId="8997" xr:uid="{00000000-0005-0000-0000-000000240000}"/>
    <cellStyle name="SAPBEXaggData 4 2 2" xfId="8998" xr:uid="{00000000-0005-0000-0000-000001240000}"/>
    <cellStyle name="SAPBEXaggData 4 2 3" xfId="8999" xr:uid="{00000000-0005-0000-0000-000002240000}"/>
    <cellStyle name="SAPBEXaggData 4 2 4" xfId="9000" xr:uid="{00000000-0005-0000-0000-000003240000}"/>
    <cellStyle name="SAPBEXaggData 4 2 5" xfId="9001" xr:uid="{00000000-0005-0000-0000-000004240000}"/>
    <cellStyle name="SAPBEXaggData 4 3" xfId="9002" xr:uid="{00000000-0005-0000-0000-000005240000}"/>
    <cellStyle name="SAPBEXaggData 4 4" xfId="9003" xr:uid="{00000000-0005-0000-0000-000006240000}"/>
    <cellStyle name="SAPBEXaggData 4 5" xfId="9004" xr:uid="{00000000-0005-0000-0000-000007240000}"/>
    <cellStyle name="SAPBEXaggData 4 6" xfId="9005" xr:uid="{00000000-0005-0000-0000-000008240000}"/>
    <cellStyle name="SAPBEXaggData 5" xfId="9006" xr:uid="{00000000-0005-0000-0000-000009240000}"/>
    <cellStyle name="SAPBEXaggData 5 2" xfId="9007" xr:uid="{00000000-0005-0000-0000-00000A240000}"/>
    <cellStyle name="SAPBEXaggData 5 2 2" xfId="9008" xr:uid="{00000000-0005-0000-0000-00000B240000}"/>
    <cellStyle name="SAPBEXaggData 5 2 3" xfId="9009" xr:uid="{00000000-0005-0000-0000-00000C240000}"/>
    <cellStyle name="SAPBEXaggData 5 2 4" xfId="9010" xr:uid="{00000000-0005-0000-0000-00000D240000}"/>
    <cellStyle name="SAPBEXaggData 5 2 5" xfId="9011" xr:uid="{00000000-0005-0000-0000-00000E240000}"/>
    <cellStyle name="SAPBEXaggData 5 3" xfId="9012" xr:uid="{00000000-0005-0000-0000-00000F240000}"/>
    <cellStyle name="SAPBEXaggData 5 4" xfId="9013" xr:uid="{00000000-0005-0000-0000-000010240000}"/>
    <cellStyle name="SAPBEXaggData 5 5" xfId="9014" xr:uid="{00000000-0005-0000-0000-000011240000}"/>
    <cellStyle name="SAPBEXaggData 5 6" xfId="9015" xr:uid="{00000000-0005-0000-0000-000012240000}"/>
    <cellStyle name="SAPBEXaggData 6" xfId="9016" xr:uid="{00000000-0005-0000-0000-000013240000}"/>
    <cellStyle name="SAPBEXaggData 6 2" xfId="9017" xr:uid="{00000000-0005-0000-0000-000014240000}"/>
    <cellStyle name="SAPBEXaggData 6 2 2" xfId="9018" xr:uid="{00000000-0005-0000-0000-000015240000}"/>
    <cellStyle name="SAPBEXaggData 6 2 3" xfId="9019" xr:uid="{00000000-0005-0000-0000-000016240000}"/>
    <cellStyle name="SAPBEXaggData 6 2 4" xfId="9020" xr:uid="{00000000-0005-0000-0000-000017240000}"/>
    <cellStyle name="SAPBEXaggData 6 2 5" xfId="9021" xr:uid="{00000000-0005-0000-0000-000018240000}"/>
    <cellStyle name="SAPBEXaggData 6 3" xfId="9022" xr:uid="{00000000-0005-0000-0000-000019240000}"/>
    <cellStyle name="SAPBEXaggData 6 4" xfId="9023" xr:uid="{00000000-0005-0000-0000-00001A240000}"/>
    <cellStyle name="SAPBEXaggData 6 5" xfId="9024" xr:uid="{00000000-0005-0000-0000-00001B240000}"/>
    <cellStyle name="SAPBEXaggData 6 6" xfId="9025" xr:uid="{00000000-0005-0000-0000-00001C240000}"/>
    <cellStyle name="SAPBEXaggData 7" xfId="9026" xr:uid="{00000000-0005-0000-0000-00001D240000}"/>
    <cellStyle name="SAPBEXaggData 7 2" xfId="9027" xr:uid="{00000000-0005-0000-0000-00001E240000}"/>
    <cellStyle name="SAPBEXaggData 7 2 2" xfId="9028" xr:uid="{00000000-0005-0000-0000-00001F240000}"/>
    <cellStyle name="SAPBEXaggData 7 2 3" xfId="9029" xr:uid="{00000000-0005-0000-0000-000020240000}"/>
    <cellStyle name="SAPBEXaggData 7 2 4" xfId="9030" xr:uid="{00000000-0005-0000-0000-000021240000}"/>
    <cellStyle name="SAPBEXaggData 7 2 5" xfId="9031" xr:uid="{00000000-0005-0000-0000-000022240000}"/>
    <cellStyle name="SAPBEXaggData 7 3" xfId="9032" xr:uid="{00000000-0005-0000-0000-000023240000}"/>
    <cellStyle name="SAPBEXaggData 7 4" xfId="9033" xr:uid="{00000000-0005-0000-0000-000024240000}"/>
    <cellStyle name="SAPBEXaggData 7 5" xfId="9034" xr:uid="{00000000-0005-0000-0000-000025240000}"/>
    <cellStyle name="SAPBEXaggData 7 6" xfId="9035" xr:uid="{00000000-0005-0000-0000-000026240000}"/>
    <cellStyle name="SAPBEXaggData 8" xfId="9036" xr:uid="{00000000-0005-0000-0000-000027240000}"/>
    <cellStyle name="SAPBEXaggData 8 2" xfId="9037" xr:uid="{00000000-0005-0000-0000-000028240000}"/>
    <cellStyle name="SAPBEXaggData 8 2 2" xfId="9038" xr:uid="{00000000-0005-0000-0000-000029240000}"/>
    <cellStyle name="SAPBEXaggData 8 2 3" xfId="9039" xr:uid="{00000000-0005-0000-0000-00002A240000}"/>
    <cellStyle name="SAPBEXaggData 8 2 4" xfId="9040" xr:uid="{00000000-0005-0000-0000-00002B240000}"/>
    <cellStyle name="SAPBEXaggData 8 2 5" xfId="9041" xr:uid="{00000000-0005-0000-0000-00002C240000}"/>
    <cellStyle name="SAPBEXaggData 8 3" xfId="9042" xr:uid="{00000000-0005-0000-0000-00002D240000}"/>
    <cellStyle name="SAPBEXaggData 8 4" xfId="9043" xr:uid="{00000000-0005-0000-0000-00002E240000}"/>
    <cellStyle name="SAPBEXaggData 8 5" xfId="9044" xr:uid="{00000000-0005-0000-0000-00002F240000}"/>
    <cellStyle name="SAPBEXaggData 8 6" xfId="9045" xr:uid="{00000000-0005-0000-0000-000030240000}"/>
    <cellStyle name="SAPBEXaggData 9" xfId="9046" xr:uid="{00000000-0005-0000-0000-000031240000}"/>
    <cellStyle name="SAPBEXaggData 9 2" xfId="9047" xr:uid="{00000000-0005-0000-0000-000032240000}"/>
    <cellStyle name="SAPBEXaggData 9 2 2" xfId="9048" xr:uid="{00000000-0005-0000-0000-000033240000}"/>
    <cellStyle name="SAPBEXaggData 9 2 3" xfId="9049" xr:uid="{00000000-0005-0000-0000-000034240000}"/>
    <cellStyle name="SAPBEXaggData 9 2 4" xfId="9050" xr:uid="{00000000-0005-0000-0000-000035240000}"/>
    <cellStyle name="SAPBEXaggData 9 2 5" xfId="9051" xr:uid="{00000000-0005-0000-0000-000036240000}"/>
    <cellStyle name="SAPBEXaggData 9 3" xfId="9052" xr:uid="{00000000-0005-0000-0000-000037240000}"/>
    <cellStyle name="SAPBEXaggData 9 4" xfId="9053" xr:uid="{00000000-0005-0000-0000-000038240000}"/>
    <cellStyle name="SAPBEXaggData 9 5" xfId="9054" xr:uid="{00000000-0005-0000-0000-000039240000}"/>
    <cellStyle name="SAPBEXaggData 9 6" xfId="9055" xr:uid="{00000000-0005-0000-0000-00003A240000}"/>
    <cellStyle name="SAPBEXaggData_KTR An-Abflug" xfId="14703" xr:uid="{00000000-0005-0000-0000-00003B240000}"/>
    <cellStyle name="SAPBEXaggDataEmph" xfId="9056" xr:uid="{00000000-0005-0000-0000-00003C240000}"/>
    <cellStyle name="SAPBEXaggDataEmph 10" xfId="9057" xr:uid="{00000000-0005-0000-0000-00003D240000}"/>
    <cellStyle name="SAPBEXaggDataEmph 10 2" xfId="9058" xr:uid="{00000000-0005-0000-0000-00003E240000}"/>
    <cellStyle name="SAPBEXaggDataEmph 10 2 2" xfId="9059" xr:uid="{00000000-0005-0000-0000-00003F240000}"/>
    <cellStyle name="SAPBEXaggDataEmph 10 2 3" xfId="9060" xr:uid="{00000000-0005-0000-0000-000040240000}"/>
    <cellStyle name="SAPBEXaggDataEmph 10 2 4" xfId="9061" xr:uid="{00000000-0005-0000-0000-000041240000}"/>
    <cellStyle name="SAPBEXaggDataEmph 10 2 5" xfId="9062" xr:uid="{00000000-0005-0000-0000-000042240000}"/>
    <cellStyle name="SAPBEXaggDataEmph 10 3" xfId="9063" xr:uid="{00000000-0005-0000-0000-000043240000}"/>
    <cellStyle name="SAPBEXaggDataEmph 10 4" xfId="9064" xr:uid="{00000000-0005-0000-0000-000044240000}"/>
    <cellStyle name="SAPBEXaggDataEmph 10 5" xfId="9065" xr:uid="{00000000-0005-0000-0000-000045240000}"/>
    <cellStyle name="SAPBEXaggDataEmph 10 6" xfId="9066" xr:uid="{00000000-0005-0000-0000-000046240000}"/>
    <cellStyle name="SAPBEXaggDataEmph 11" xfId="9067" xr:uid="{00000000-0005-0000-0000-000047240000}"/>
    <cellStyle name="SAPBEXaggDataEmph 11 2" xfId="9068" xr:uid="{00000000-0005-0000-0000-000048240000}"/>
    <cellStyle name="SAPBEXaggDataEmph 11 2 2" xfId="9069" xr:uid="{00000000-0005-0000-0000-000049240000}"/>
    <cellStyle name="SAPBEXaggDataEmph 11 2 3" xfId="9070" xr:uid="{00000000-0005-0000-0000-00004A240000}"/>
    <cellStyle name="SAPBEXaggDataEmph 11 2 4" xfId="9071" xr:uid="{00000000-0005-0000-0000-00004B240000}"/>
    <cellStyle name="SAPBEXaggDataEmph 11 2 5" xfId="9072" xr:uid="{00000000-0005-0000-0000-00004C240000}"/>
    <cellStyle name="SAPBEXaggDataEmph 11 3" xfId="9073" xr:uid="{00000000-0005-0000-0000-00004D240000}"/>
    <cellStyle name="SAPBEXaggDataEmph 11 4" xfId="9074" xr:uid="{00000000-0005-0000-0000-00004E240000}"/>
    <cellStyle name="SAPBEXaggDataEmph 11 5" xfId="9075" xr:uid="{00000000-0005-0000-0000-00004F240000}"/>
    <cellStyle name="SAPBEXaggDataEmph 11 6" xfId="9076" xr:uid="{00000000-0005-0000-0000-000050240000}"/>
    <cellStyle name="SAPBEXaggDataEmph 12" xfId="9077" xr:uid="{00000000-0005-0000-0000-000051240000}"/>
    <cellStyle name="SAPBEXaggDataEmph 12 2" xfId="9078" xr:uid="{00000000-0005-0000-0000-000052240000}"/>
    <cellStyle name="SAPBEXaggDataEmph 12 2 2" xfId="9079" xr:uid="{00000000-0005-0000-0000-000053240000}"/>
    <cellStyle name="SAPBEXaggDataEmph 12 2 3" xfId="9080" xr:uid="{00000000-0005-0000-0000-000054240000}"/>
    <cellStyle name="SAPBEXaggDataEmph 12 2 4" xfId="9081" xr:uid="{00000000-0005-0000-0000-000055240000}"/>
    <cellStyle name="SAPBEXaggDataEmph 12 2 5" xfId="9082" xr:uid="{00000000-0005-0000-0000-000056240000}"/>
    <cellStyle name="SAPBEXaggDataEmph 12 3" xfId="9083" xr:uid="{00000000-0005-0000-0000-000057240000}"/>
    <cellStyle name="SAPBEXaggDataEmph 12 4" xfId="9084" xr:uid="{00000000-0005-0000-0000-000058240000}"/>
    <cellStyle name="SAPBEXaggDataEmph 12 5" xfId="9085" xr:uid="{00000000-0005-0000-0000-000059240000}"/>
    <cellStyle name="SAPBEXaggDataEmph 12 6" xfId="9086" xr:uid="{00000000-0005-0000-0000-00005A240000}"/>
    <cellStyle name="SAPBEXaggDataEmph 13" xfId="9087" xr:uid="{00000000-0005-0000-0000-00005B240000}"/>
    <cellStyle name="SAPBEXaggDataEmph 13 2" xfId="9088" xr:uid="{00000000-0005-0000-0000-00005C240000}"/>
    <cellStyle name="SAPBEXaggDataEmph 13 2 2" xfId="9089" xr:uid="{00000000-0005-0000-0000-00005D240000}"/>
    <cellStyle name="SAPBEXaggDataEmph 13 2 3" xfId="9090" xr:uid="{00000000-0005-0000-0000-00005E240000}"/>
    <cellStyle name="SAPBEXaggDataEmph 13 2 4" xfId="9091" xr:uid="{00000000-0005-0000-0000-00005F240000}"/>
    <cellStyle name="SAPBEXaggDataEmph 13 2 5" xfId="9092" xr:uid="{00000000-0005-0000-0000-000060240000}"/>
    <cellStyle name="SAPBEXaggDataEmph 13 3" xfId="9093" xr:uid="{00000000-0005-0000-0000-000061240000}"/>
    <cellStyle name="SAPBEXaggDataEmph 13 4" xfId="9094" xr:uid="{00000000-0005-0000-0000-000062240000}"/>
    <cellStyle name="SAPBEXaggDataEmph 13 5" xfId="9095" xr:uid="{00000000-0005-0000-0000-000063240000}"/>
    <cellStyle name="SAPBEXaggDataEmph 13 6" xfId="9096" xr:uid="{00000000-0005-0000-0000-000064240000}"/>
    <cellStyle name="SAPBEXaggDataEmph 14" xfId="9097" xr:uid="{00000000-0005-0000-0000-000065240000}"/>
    <cellStyle name="SAPBEXaggDataEmph 14 2" xfId="9098" xr:uid="{00000000-0005-0000-0000-000066240000}"/>
    <cellStyle name="SAPBEXaggDataEmph 14 2 2" xfId="9099" xr:uid="{00000000-0005-0000-0000-000067240000}"/>
    <cellStyle name="SAPBEXaggDataEmph 14 2 3" xfId="9100" xr:uid="{00000000-0005-0000-0000-000068240000}"/>
    <cellStyle name="SAPBEXaggDataEmph 14 2 4" xfId="9101" xr:uid="{00000000-0005-0000-0000-000069240000}"/>
    <cellStyle name="SAPBEXaggDataEmph 14 2 5" xfId="9102" xr:uid="{00000000-0005-0000-0000-00006A240000}"/>
    <cellStyle name="SAPBEXaggDataEmph 14 3" xfId="9103" xr:uid="{00000000-0005-0000-0000-00006B240000}"/>
    <cellStyle name="SAPBEXaggDataEmph 14 4" xfId="9104" xr:uid="{00000000-0005-0000-0000-00006C240000}"/>
    <cellStyle name="SAPBEXaggDataEmph 14 5" xfId="9105" xr:uid="{00000000-0005-0000-0000-00006D240000}"/>
    <cellStyle name="SAPBEXaggDataEmph 14 6" xfId="9106" xr:uid="{00000000-0005-0000-0000-00006E240000}"/>
    <cellStyle name="SAPBEXaggDataEmph 15" xfId="9107" xr:uid="{00000000-0005-0000-0000-00006F240000}"/>
    <cellStyle name="SAPBEXaggDataEmph 15 2" xfId="9108" xr:uid="{00000000-0005-0000-0000-000070240000}"/>
    <cellStyle name="SAPBEXaggDataEmph 15 2 2" xfId="9109" xr:uid="{00000000-0005-0000-0000-000071240000}"/>
    <cellStyle name="SAPBEXaggDataEmph 15 2 3" xfId="9110" xr:uid="{00000000-0005-0000-0000-000072240000}"/>
    <cellStyle name="SAPBEXaggDataEmph 15 2 4" xfId="9111" xr:uid="{00000000-0005-0000-0000-000073240000}"/>
    <cellStyle name="SAPBEXaggDataEmph 15 2 5" xfId="9112" xr:uid="{00000000-0005-0000-0000-000074240000}"/>
    <cellStyle name="SAPBEXaggDataEmph 15 3" xfId="9113" xr:uid="{00000000-0005-0000-0000-000075240000}"/>
    <cellStyle name="SAPBEXaggDataEmph 15 4" xfId="9114" xr:uid="{00000000-0005-0000-0000-000076240000}"/>
    <cellStyle name="SAPBEXaggDataEmph 15 5" xfId="9115" xr:uid="{00000000-0005-0000-0000-000077240000}"/>
    <cellStyle name="SAPBEXaggDataEmph 15 6" xfId="9116" xr:uid="{00000000-0005-0000-0000-000078240000}"/>
    <cellStyle name="SAPBEXaggDataEmph 16" xfId="9117" xr:uid="{00000000-0005-0000-0000-000079240000}"/>
    <cellStyle name="SAPBEXaggDataEmph 17" xfId="9118" xr:uid="{00000000-0005-0000-0000-00007A240000}"/>
    <cellStyle name="SAPBEXaggDataEmph 18" xfId="9119" xr:uid="{00000000-0005-0000-0000-00007B240000}"/>
    <cellStyle name="SAPBEXaggDataEmph 19" xfId="9120" xr:uid="{00000000-0005-0000-0000-00007C240000}"/>
    <cellStyle name="SAPBEXaggDataEmph 2" xfId="9121" xr:uid="{00000000-0005-0000-0000-00007D240000}"/>
    <cellStyle name="SAPBEXaggDataEmph 2 2" xfId="9122" xr:uid="{00000000-0005-0000-0000-00007E240000}"/>
    <cellStyle name="SAPBEXaggDataEmph 2 2 2" xfId="9123" xr:uid="{00000000-0005-0000-0000-00007F240000}"/>
    <cellStyle name="SAPBEXaggDataEmph 2 2 3" xfId="9124" xr:uid="{00000000-0005-0000-0000-000080240000}"/>
    <cellStyle name="SAPBEXaggDataEmph 2 2 4" xfId="9125" xr:uid="{00000000-0005-0000-0000-000081240000}"/>
    <cellStyle name="SAPBEXaggDataEmph 2 2 5" xfId="9126" xr:uid="{00000000-0005-0000-0000-000082240000}"/>
    <cellStyle name="SAPBEXaggDataEmph 2 3" xfId="9127" xr:uid="{00000000-0005-0000-0000-000083240000}"/>
    <cellStyle name="SAPBEXaggDataEmph 2 4" xfId="9128" xr:uid="{00000000-0005-0000-0000-000084240000}"/>
    <cellStyle name="SAPBEXaggDataEmph 2 5" xfId="9129" xr:uid="{00000000-0005-0000-0000-000085240000}"/>
    <cellStyle name="SAPBEXaggDataEmph 2 6" xfId="9130" xr:uid="{00000000-0005-0000-0000-000086240000}"/>
    <cellStyle name="SAPBEXaggDataEmph 3" xfId="9131" xr:uid="{00000000-0005-0000-0000-000087240000}"/>
    <cellStyle name="SAPBEXaggDataEmph 3 2" xfId="9132" xr:uid="{00000000-0005-0000-0000-000088240000}"/>
    <cellStyle name="SAPBEXaggDataEmph 3 2 2" xfId="9133" xr:uid="{00000000-0005-0000-0000-000089240000}"/>
    <cellStyle name="SAPBEXaggDataEmph 3 2 3" xfId="9134" xr:uid="{00000000-0005-0000-0000-00008A240000}"/>
    <cellStyle name="SAPBEXaggDataEmph 3 2 4" xfId="9135" xr:uid="{00000000-0005-0000-0000-00008B240000}"/>
    <cellStyle name="SAPBEXaggDataEmph 3 2 5" xfId="9136" xr:uid="{00000000-0005-0000-0000-00008C240000}"/>
    <cellStyle name="SAPBEXaggDataEmph 3 3" xfId="9137" xr:uid="{00000000-0005-0000-0000-00008D240000}"/>
    <cellStyle name="SAPBEXaggDataEmph 3 4" xfId="9138" xr:uid="{00000000-0005-0000-0000-00008E240000}"/>
    <cellStyle name="SAPBEXaggDataEmph 3 5" xfId="9139" xr:uid="{00000000-0005-0000-0000-00008F240000}"/>
    <cellStyle name="SAPBEXaggDataEmph 3 6" xfId="9140" xr:uid="{00000000-0005-0000-0000-000090240000}"/>
    <cellStyle name="SAPBEXaggDataEmph 4" xfId="9141" xr:uid="{00000000-0005-0000-0000-000091240000}"/>
    <cellStyle name="SAPBEXaggDataEmph 4 2" xfId="9142" xr:uid="{00000000-0005-0000-0000-000092240000}"/>
    <cellStyle name="SAPBEXaggDataEmph 4 2 2" xfId="9143" xr:uid="{00000000-0005-0000-0000-000093240000}"/>
    <cellStyle name="SAPBEXaggDataEmph 4 2 3" xfId="9144" xr:uid="{00000000-0005-0000-0000-000094240000}"/>
    <cellStyle name="SAPBEXaggDataEmph 4 2 4" xfId="9145" xr:uid="{00000000-0005-0000-0000-000095240000}"/>
    <cellStyle name="SAPBEXaggDataEmph 4 2 5" xfId="9146" xr:uid="{00000000-0005-0000-0000-000096240000}"/>
    <cellStyle name="SAPBEXaggDataEmph 4 3" xfId="9147" xr:uid="{00000000-0005-0000-0000-000097240000}"/>
    <cellStyle name="SAPBEXaggDataEmph 4 4" xfId="9148" xr:uid="{00000000-0005-0000-0000-000098240000}"/>
    <cellStyle name="SAPBEXaggDataEmph 4 5" xfId="9149" xr:uid="{00000000-0005-0000-0000-000099240000}"/>
    <cellStyle name="SAPBEXaggDataEmph 4 6" xfId="9150" xr:uid="{00000000-0005-0000-0000-00009A240000}"/>
    <cellStyle name="SAPBEXaggDataEmph 5" xfId="9151" xr:uid="{00000000-0005-0000-0000-00009B240000}"/>
    <cellStyle name="SAPBEXaggDataEmph 5 2" xfId="9152" xr:uid="{00000000-0005-0000-0000-00009C240000}"/>
    <cellStyle name="SAPBEXaggDataEmph 5 2 2" xfId="9153" xr:uid="{00000000-0005-0000-0000-00009D240000}"/>
    <cellStyle name="SAPBEXaggDataEmph 5 2 3" xfId="9154" xr:uid="{00000000-0005-0000-0000-00009E240000}"/>
    <cellStyle name="SAPBEXaggDataEmph 5 2 4" xfId="9155" xr:uid="{00000000-0005-0000-0000-00009F240000}"/>
    <cellStyle name="SAPBEXaggDataEmph 5 2 5" xfId="9156" xr:uid="{00000000-0005-0000-0000-0000A0240000}"/>
    <cellStyle name="SAPBEXaggDataEmph 5 3" xfId="9157" xr:uid="{00000000-0005-0000-0000-0000A1240000}"/>
    <cellStyle name="SAPBEXaggDataEmph 5 4" xfId="9158" xr:uid="{00000000-0005-0000-0000-0000A2240000}"/>
    <cellStyle name="SAPBEXaggDataEmph 5 5" xfId="9159" xr:uid="{00000000-0005-0000-0000-0000A3240000}"/>
    <cellStyle name="SAPBEXaggDataEmph 5 6" xfId="9160" xr:uid="{00000000-0005-0000-0000-0000A4240000}"/>
    <cellStyle name="SAPBEXaggDataEmph 6" xfId="9161" xr:uid="{00000000-0005-0000-0000-0000A5240000}"/>
    <cellStyle name="SAPBEXaggDataEmph 6 2" xfId="9162" xr:uid="{00000000-0005-0000-0000-0000A6240000}"/>
    <cellStyle name="SAPBEXaggDataEmph 6 2 2" xfId="9163" xr:uid="{00000000-0005-0000-0000-0000A7240000}"/>
    <cellStyle name="SAPBEXaggDataEmph 6 2 3" xfId="9164" xr:uid="{00000000-0005-0000-0000-0000A8240000}"/>
    <cellStyle name="SAPBEXaggDataEmph 6 2 4" xfId="9165" xr:uid="{00000000-0005-0000-0000-0000A9240000}"/>
    <cellStyle name="SAPBEXaggDataEmph 6 2 5" xfId="9166" xr:uid="{00000000-0005-0000-0000-0000AA240000}"/>
    <cellStyle name="SAPBEXaggDataEmph 6 3" xfId="9167" xr:uid="{00000000-0005-0000-0000-0000AB240000}"/>
    <cellStyle name="SAPBEXaggDataEmph 6 4" xfId="9168" xr:uid="{00000000-0005-0000-0000-0000AC240000}"/>
    <cellStyle name="SAPBEXaggDataEmph 6 5" xfId="9169" xr:uid="{00000000-0005-0000-0000-0000AD240000}"/>
    <cellStyle name="SAPBEXaggDataEmph 6 6" xfId="9170" xr:uid="{00000000-0005-0000-0000-0000AE240000}"/>
    <cellStyle name="SAPBEXaggDataEmph 7" xfId="9171" xr:uid="{00000000-0005-0000-0000-0000AF240000}"/>
    <cellStyle name="SAPBEXaggDataEmph 7 2" xfId="9172" xr:uid="{00000000-0005-0000-0000-0000B0240000}"/>
    <cellStyle name="SAPBEXaggDataEmph 7 2 2" xfId="9173" xr:uid="{00000000-0005-0000-0000-0000B1240000}"/>
    <cellStyle name="SAPBEXaggDataEmph 7 2 3" xfId="9174" xr:uid="{00000000-0005-0000-0000-0000B2240000}"/>
    <cellStyle name="SAPBEXaggDataEmph 7 2 4" xfId="9175" xr:uid="{00000000-0005-0000-0000-0000B3240000}"/>
    <cellStyle name="SAPBEXaggDataEmph 7 2 5" xfId="9176" xr:uid="{00000000-0005-0000-0000-0000B4240000}"/>
    <cellStyle name="SAPBEXaggDataEmph 7 3" xfId="9177" xr:uid="{00000000-0005-0000-0000-0000B5240000}"/>
    <cellStyle name="SAPBEXaggDataEmph 7 4" xfId="9178" xr:uid="{00000000-0005-0000-0000-0000B6240000}"/>
    <cellStyle name="SAPBEXaggDataEmph 7 5" xfId="9179" xr:uid="{00000000-0005-0000-0000-0000B7240000}"/>
    <cellStyle name="SAPBEXaggDataEmph 7 6" xfId="9180" xr:uid="{00000000-0005-0000-0000-0000B8240000}"/>
    <cellStyle name="SAPBEXaggDataEmph 8" xfId="9181" xr:uid="{00000000-0005-0000-0000-0000B9240000}"/>
    <cellStyle name="SAPBEXaggDataEmph 8 2" xfId="9182" xr:uid="{00000000-0005-0000-0000-0000BA240000}"/>
    <cellStyle name="SAPBEXaggDataEmph 8 2 2" xfId="9183" xr:uid="{00000000-0005-0000-0000-0000BB240000}"/>
    <cellStyle name="SAPBEXaggDataEmph 8 2 3" xfId="9184" xr:uid="{00000000-0005-0000-0000-0000BC240000}"/>
    <cellStyle name="SAPBEXaggDataEmph 8 2 4" xfId="9185" xr:uid="{00000000-0005-0000-0000-0000BD240000}"/>
    <cellStyle name="SAPBEXaggDataEmph 8 2 5" xfId="9186" xr:uid="{00000000-0005-0000-0000-0000BE240000}"/>
    <cellStyle name="SAPBEXaggDataEmph 8 3" xfId="9187" xr:uid="{00000000-0005-0000-0000-0000BF240000}"/>
    <cellStyle name="SAPBEXaggDataEmph 8 4" xfId="9188" xr:uid="{00000000-0005-0000-0000-0000C0240000}"/>
    <cellStyle name="SAPBEXaggDataEmph 8 5" xfId="9189" xr:uid="{00000000-0005-0000-0000-0000C1240000}"/>
    <cellStyle name="SAPBEXaggDataEmph 8 6" xfId="9190" xr:uid="{00000000-0005-0000-0000-0000C2240000}"/>
    <cellStyle name="SAPBEXaggDataEmph 9" xfId="9191" xr:uid="{00000000-0005-0000-0000-0000C3240000}"/>
    <cellStyle name="SAPBEXaggDataEmph 9 2" xfId="9192" xr:uid="{00000000-0005-0000-0000-0000C4240000}"/>
    <cellStyle name="SAPBEXaggDataEmph 9 2 2" xfId="9193" xr:uid="{00000000-0005-0000-0000-0000C5240000}"/>
    <cellStyle name="SAPBEXaggDataEmph 9 2 3" xfId="9194" xr:uid="{00000000-0005-0000-0000-0000C6240000}"/>
    <cellStyle name="SAPBEXaggDataEmph 9 2 4" xfId="9195" xr:uid="{00000000-0005-0000-0000-0000C7240000}"/>
    <cellStyle name="SAPBEXaggDataEmph 9 2 5" xfId="9196" xr:uid="{00000000-0005-0000-0000-0000C8240000}"/>
    <cellStyle name="SAPBEXaggDataEmph 9 3" xfId="9197" xr:uid="{00000000-0005-0000-0000-0000C9240000}"/>
    <cellStyle name="SAPBEXaggDataEmph 9 4" xfId="9198" xr:uid="{00000000-0005-0000-0000-0000CA240000}"/>
    <cellStyle name="SAPBEXaggDataEmph 9 5" xfId="9199" xr:uid="{00000000-0005-0000-0000-0000CB240000}"/>
    <cellStyle name="SAPBEXaggDataEmph 9 6" xfId="9200" xr:uid="{00000000-0005-0000-0000-0000CC240000}"/>
    <cellStyle name="SAPBEXaggDataEmph_KTR An-Abflug" xfId="14716" xr:uid="{00000000-0005-0000-0000-0000CD240000}"/>
    <cellStyle name="SAPBEXaggItem" xfId="9201" xr:uid="{00000000-0005-0000-0000-0000CE240000}"/>
    <cellStyle name="SAPBEXaggItem 10" xfId="9202" xr:uid="{00000000-0005-0000-0000-0000CF240000}"/>
    <cellStyle name="SAPBEXaggItem 10 2" xfId="9203" xr:uid="{00000000-0005-0000-0000-0000D0240000}"/>
    <cellStyle name="SAPBEXaggItem 10 2 2" xfId="9204" xr:uid="{00000000-0005-0000-0000-0000D1240000}"/>
    <cellStyle name="SAPBEXaggItem 10 2 3" xfId="9205" xr:uid="{00000000-0005-0000-0000-0000D2240000}"/>
    <cellStyle name="SAPBEXaggItem 10 2 4" xfId="9206" xr:uid="{00000000-0005-0000-0000-0000D3240000}"/>
    <cellStyle name="SAPBEXaggItem 10 2 5" xfId="9207" xr:uid="{00000000-0005-0000-0000-0000D4240000}"/>
    <cellStyle name="SAPBEXaggItem 10 3" xfId="9208" xr:uid="{00000000-0005-0000-0000-0000D5240000}"/>
    <cellStyle name="SAPBEXaggItem 10 4" xfId="9209" xr:uid="{00000000-0005-0000-0000-0000D6240000}"/>
    <cellStyle name="SAPBEXaggItem 10 5" xfId="9210" xr:uid="{00000000-0005-0000-0000-0000D7240000}"/>
    <cellStyle name="SAPBEXaggItem 10 6" xfId="9211" xr:uid="{00000000-0005-0000-0000-0000D8240000}"/>
    <cellStyle name="SAPBEXaggItem 11" xfId="9212" xr:uid="{00000000-0005-0000-0000-0000D9240000}"/>
    <cellStyle name="SAPBEXaggItem 11 2" xfId="9213" xr:uid="{00000000-0005-0000-0000-0000DA240000}"/>
    <cellStyle name="SAPBEXaggItem 11 2 2" xfId="9214" xr:uid="{00000000-0005-0000-0000-0000DB240000}"/>
    <cellStyle name="SAPBEXaggItem 11 2 3" xfId="9215" xr:uid="{00000000-0005-0000-0000-0000DC240000}"/>
    <cellStyle name="SAPBEXaggItem 11 2 4" xfId="9216" xr:uid="{00000000-0005-0000-0000-0000DD240000}"/>
    <cellStyle name="SAPBEXaggItem 11 2 5" xfId="9217" xr:uid="{00000000-0005-0000-0000-0000DE240000}"/>
    <cellStyle name="SAPBEXaggItem 11 3" xfId="9218" xr:uid="{00000000-0005-0000-0000-0000DF240000}"/>
    <cellStyle name="SAPBEXaggItem 11 4" xfId="9219" xr:uid="{00000000-0005-0000-0000-0000E0240000}"/>
    <cellStyle name="SAPBEXaggItem 11 5" xfId="9220" xr:uid="{00000000-0005-0000-0000-0000E1240000}"/>
    <cellStyle name="SAPBEXaggItem 11 6" xfId="9221" xr:uid="{00000000-0005-0000-0000-0000E2240000}"/>
    <cellStyle name="SAPBEXaggItem 12" xfId="9222" xr:uid="{00000000-0005-0000-0000-0000E3240000}"/>
    <cellStyle name="SAPBEXaggItem 12 2" xfId="9223" xr:uid="{00000000-0005-0000-0000-0000E4240000}"/>
    <cellStyle name="SAPBEXaggItem 12 2 2" xfId="9224" xr:uid="{00000000-0005-0000-0000-0000E5240000}"/>
    <cellStyle name="SAPBEXaggItem 12 2 3" xfId="9225" xr:uid="{00000000-0005-0000-0000-0000E6240000}"/>
    <cellStyle name="SAPBEXaggItem 12 2 4" xfId="9226" xr:uid="{00000000-0005-0000-0000-0000E7240000}"/>
    <cellStyle name="SAPBEXaggItem 12 2 5" xfId="9227" xr:uid="{00000000-0005-0000-0000-0000E8240000}"/>
    <cellStyle name="SAPBEXaggItem 12 3" xfId="9228" xr:uid="{00000000-0005-0000-0000-0000E9240000}"/>
    <cellStyle name="SAPBEXaggItem 12 4" xfId="9229" xr:uid="{00000000-0005-0000-0000-0000EA240000}"/>
    <cellStyle name="SAPBEXaggItem 12 5" xfId="9230" xr:uid="{00000000-0005-0000-0000-0000EB240000}"/>
    <cellStyle name="SAPBEXaggItem 12 6" xfId="9231" xr:uid="{00000000-0005-0000-0000-0000EC240000}"/>
    <cellStyle name="SAPBEXaggItem 13" xfId="9232" xr:uid="{00000000-0005-0000-0000-0000ED240000}"/>
    <cellStyle name="SAPBEXaggItem 13 2" xfId="9233" xr:uid="{00000000-0005-0000-0000-0000EE240000}"/>
    <cellStyle name="SAPBEXaggItem 13 2 2" xfId="9234" xr:uid="{00000000-0005-0000-0000-0000EF240000}"/>
    <cellStyle name="SAPBEXaggItem 13 2 3" xfId="9235" xr:uid="{00000000-0005-0000-0000-0000F0240000}"/>
    <cellStyle name="SAPBEXaggItem 13 2 4" xfId="9236" xr:uid="{00000000-0005-0000-0000-0000F1240000}"/>
    <cellStyle name="SAPBEXaggItem 13 2 5" xfId="9237" xr:uid="{00000000-0005-0000-0000-0000F2240000}"/>
    <cellStyle name="SAPBEXaggItem 13 3" xfId="9238" xr:uid="{00000000-0005-0000-0000-0000F3240000}"/>
    <cellStyle name="SAPBEXaggItem 13 4" xfId="9239" xr:uid="{00000000-0005-0000-0000-0000F4240000}"/>
    <cellStyle name="SAPBEXaggItem 13 5" xfId="9240" xr:uid="{00000000-0005-0000-0000-0000F5240000}"/>
    <cellStyle name="SAPBEXaggItem 13 6" xfId="9241" xr:uid="{00000000-0005-0000-0000-0000F6240000}"/>
    <cellStyle name="SAPBEXaggItem 14" xfId="9242" xr:uid="{00000000-0005-0000-0000-0000F7240000}"/>
    <cellStyle name="SAPBEXaggItem 14 2" xfId="9243" xr:uid="{00000000-0005-0000-0000-0000F8240000}"/>
    <cellStyle name="SAPBEXaggItem 14 2 2" xfId="9244" xr:uid="{00000000-0005-0000-0000-0000F9240000}"/>
    <cellStyle name="SAPBEXaggItem 14 2 3" xfId="9245" xr:uid="{00000000-0005-0000-0000-0000FA240000}"/>
    <cellStyle name="SAPBEXaggItem 14 2 4" xfId="9246" xr:uid="{00000000-0005-0000-0000-0000FB240000}"/>
    <cellStyle name="SAPBEXaggItem 14 2 5" xfId="9247" xr:uid="{00000000-0005-0000-0000-0000FC240000}"/>
    <cellStyle name="SAPBEXaggItem 14 3" xfId="9248" xr:uid="{00000000-0005-0000-0000-0000FD240000}"/>
    <cellStyle name="SAPBEXaggItem 14 4" xfId="9249" xr:uid="{00000000-0005-0000-0000-0000FE240000}"/>
    <cellStyle name="SAPBEXaggItem 14 5" xfId="9250" xr:uid="{00000000-0005-0000-0000-0000FF240000}"/>
    <cellStyle name="SAPBEXaggItem 14 6" xfId="9251" xr:uid="{00000000-0005-0000-0000-000000250000}"/>
    <cellStyle name="SAPBEXaggItem 15" xfId="9252" xr:uid="{00000000-0005-0000-0000-000001250000}"/>
    <cellStyle name="SAPBEXaggItem 15 2" xfId="9253" xr:uid="{00000000-0005-0000-0000-000002250000}"/>
    <cellStyle name="SAPBEXaggItem 15 2 2" xfId="9254" xr:uid="{00000000-0005-0000-0000-000003250000}"/>
    <cellStyle name="SAPBEXaggItem 15 2 3" xfId="9255" xr:uid="{00000000-0005-0000-0000-000004250000}"/>
    <cellStyle name="SAPBEXaggItem 15 2 4" xfId="9256" xr:uid="{00000000-0005-0000-0000-000005250000}"/>
    <cellStyle name="SAPBEXaggItem 15 2 5" xfId="9257" xr:uid="{00000000-0005-0000-0000-000006250000}"/>
    <cellStyle name="SAPBEXaggItem 15 3" xfId="9258" xr:uid="{00000000-0005-0000-0000-000007250000}"/>
    <cellStyle name="SAPBEXaggItem 15 4" xfId="9259" xr:uid="{00000000-0005-0000-0000-000008250000}"/>
    <cellStyle name="SAPBEXaggItem 15 5" xfId="9260" xr:uid="{00000000-0005-0000-0000-000009250000}"/>
    <cellStyle name="SAPBEXaggItem 15 6" xfId="9261" xr:uid="{00000000-0005-0000-0000-00000A250000}"/>
    <cellStyle name="SAPBEXaggItem 16" xfId="9262" xr:uid="{00000000-0005-0000-0000-00000B250000}"/>
    <cellStyle name="SAPBEXaggItem 17" xfId="9263" xr:uid="{00000000-0005-0000-0000-00000C250000}"/>
    <cellStyle name="SAPBEXaggItem 18" xfId="9264" xr:uid="{00000000-0005-0000-0000-00000D250000}"/>
    <cellStyle name="SAPBEXaggItem 19" xfId="9265" xr:uid="{00000000-0005-0000-0000-00000E250000}"/>
    <cellStyle name="SAPBEXaggItem 2" xfId="9266" xr:uid="{00000000-0005-0000-0000-00000F250000}"/>
    <cellStyle name="SAPBEXaggItem 2 2" xfId="9267" xr:uid="{00000000-0005-0000-0000-000010250000}"/>
    <cellStyle name="SAPBEXaggItem 2 2 2" xfId="9268" xr:uid="{00000000-0005-0000-0000-000011250000}"/>
    <cellStyle name="SAPBEXaggItem 2 2 3" xfId="9269" xr:uid="{00000000-0005-0000-0000-000012250000}"/>
    <cellStyle name="SAPBEXaggItem 2 2 4" xfId="9270" xr:uid="{00000000-0005-0000-0000-000013250000}"/>
    <cellStyle name="SAPBEXaggItem 2 2 5" xfId="9271" xr:uid="{00000000-0005-0000-0000-000014250000}"/>
    <cellStyle name="SAPBEXaggItem 2 3" xfId="9272" xr:uid="{00000000-0005-0000-0000-000015250000}"/>
    <cellStyle name="SAPBEXaggItem 2 4" xfId="9273" xr:uid="{00000000-0005-0000-0000-000016250000}"/>
    <cellStyle name="SAPBEXaggItem 2 5" xfId="9274" xr:uid="{00000000-0005-0000-0000-000017250000}"/>
    <cellStyle name="SAPBEXaggItem 2 6" xfId="9275" xr:uid="{00000000-0005-0000-0000-000018250000}"/>
    <cellStyle name="SAPBEXaggItem 3" xfId="9276" xr:uid="{00000000-0005-0000-0000-000019250000}"/>
    <cellStyle name="SAPBEXaggItem 3 2" xfId="9277" xr:uid="{00000000-0005-0000-0000-00001A250000}"/>
    <cellStyle name="SAPBEXaggItem 3 2 2" xfId="9278" xr:uid="{00000000-0005-0000-0000-00001B250000}"/>
    <cellStyle name="SAPBEXaggItem 3 2 3" xfId="9279" xr:uid="{00000000-0005-0000-0000-00001C250000}"/>
    <cellStyle name="SAPBEXaggItem 3 2 4" xfId="9280" xr:uid="{00000000-0005-0000-0000-00001D250000}"/>
    <cellStyle name="SAPBEXaggItem 3 2 5" xfId="9281" xr:uid="{00000000-0005-0000-0000-00001E250000}"/>
    <cellStyle name="SAPBEXaggItem 3 3" xfId="9282" xr:uid="{00000000-0005-0000-0000-00001F250000}"/>
    <cellStyle name="SAPBEXaggItem 3 4" xfId="9283" xr:uid="{00000000-0005-0000-0000-000020250000}"/>
    <cellStyle name="SAPBEXaggItem 3 5" xfId="9284" xr:uid="{00000000-0005-0000-0000-000021250000}"/>
    <cellStyle name="SAPBEXaggItem 3 6" xfId="9285" xr:uid="{00000000-0005-0000-0000-000022250000}"/>
    <cellStyle name="SAPBEXaggItem 4" xfId="9286" xr:uid="{00000000-0005-0000-0000-000023250000}"/>
    <cellStyle name="SAPBEXaggItem 4 2" xfId="9287" xr:uid="{00000000-0005-0000-0000-000024250000}"/>
    <cellStyle name="SAPBEXaggItem 4 2 2" xfId="9288" xr:uid="{00000000-0005-0000-0000-000025250000}"/>
    <cellStyle name="SAPBEXaggItem 4 2 3" xfId="9289" xr:uid="{00000000-0005-0000-0000-000026250000}"/>
    <cellStyle name="SAPBEXaggItem 4 2 4" xfId="9290" xr:uid="{00000000-0005-0000-0000-000027250000}"/>
    <cellStyle name="SAPBEXaggItem 4 2 5" xfId="9291" xr:uid="{00000000-0005-0000-0000-000028250000}"/>
    <cellStyle name="SAPBEXaggItem 4 3" xfId="9292" xr:uid="{00000000-0005-0000-0000-000029250000}"/>
    <cellStyle name="SAPBEXaggItem 4 4" xfId="9293" xr:uid="{00000000-0005-0000-0000-00002A250000}"/>
    <cellStyle name="SAPBEXaggItem 4 5" xfId="9294" xr:uid="{00000000-0005-0000-0000-00002B250000}"/>
    <cellStyle name="SAPBEXaggItem 4 6" xfId="9295" xr:uid="{00000000-0005-0000-0000-00002C250000}"/>
    <cellStyle name="SAPBEXaggItem 5" xfId="9296" xr:uid="{00000000-0005-0000-0000-00002D250000}"/>
    <cellStyle name="SAPBEXaggItem 5 2" xfId="9297" xr:uid="{00000000-0005-0000-0000-00002E250000}"/>
    <cellStyle name="SAPBEXaggItem 5 2 2" xfId="9298" xr:uid="{00000000-0005-0000-0000-00002F250000}"/>
    <cellStyle name="SAPBEXaggItem 5 2 3" xfId="9299" xr:uid="{00000000-0005-0000-0000-000030250000}"/>
    <cellStyle name="SAPBEXaggItem 5 2 4" xfId="9300" xr:uid="{00000000-0005-0000-0000-000031250000}"/>
    <cellStyle name="SAPBEXaggItem 5 2 5" xfId="9301" xr:uid="{00000000-0005-0000-0000-000032250000}"/>
    <cellStyle name="SAPBEXaggItem 5 3" xfId="9302" xr:uid="{00000000-0005-0000-0000-000033250000}"/>
    <cellStyle name="SAPBEXaggItem 5 4" xfId="9303" xr:uid="{00000000-0005-0000-0000-000034250000}"/>
    <cellStyle name="SAPBEXaggItem 5 5" xfId="9304" xr:uid="{00000000-0005-0000-0000-000035250000}"/>
    <cellStyle name="SAPBEXaggItem 5 6" xfId="9305" xr:uid="{00000000-0005-0000-0000-000036250000}"/>
    <cellStyle name="SAPBEXaggItem 6" xfId="9306" xr:uid="{00000000-0005-0000-0000-000037250000}"/>
    <cellStyle name="SAPBEXaggItem 6 2" xfId="9307" xr:uid="{00000000-0005-0000-0000-000038250000}"/>
    <cellStyle name="SAPBEXaggItem 6 2 2" xfId="9308" xr:uid="{00000000-0005-0000-0000-000039250000}"/>
    <cellStyle name="SAPBEXaggItem 6 2 3" xfId="9309" xr:uid="{00000000-0005-0000-0000-00003A250000}"/>
    <cellStyle name="SAPBEXaggItem 6 2 4" xfId="9310" xr:uid="{00000000-0005-0000-0000-00003B250000}"/>
    <cellStyle name="SAPBEXaggItem 6 2 5" xfId="9311" xr:uid="{00000000-0005-0000-0000-00003C250000}"/>
    <cellStyle name="SAPBEXaggItem 6 3" xfId="9312" xr:uid="{00000000-0005-0000-0000-00003D250000}"/>
    <cellStyle name="SAPBEXaggItem 6 4" xfId="9313" xr:uid="{00000000-0005-0000-0000-00003E250000}"/>
    <cellStyle name="SAPBEXaggItem 6 5" xfId="9314" xr:uid="{00000000-0005-0000-0000-00003F250000}"/>
    <cellStyle name="SAPBEXaggItem 6 6" xfId="9315" xr:uid="{00000000-0005-0000-0000-000040250000}"/>
    <cellStyle name="SAPBEXaggItem 7" xfId="9316" xr:uid="{00000000-0005-0000-0000-000041250000}"/>
    <cellStyle name="SAPBEXaggItem 7 2" xfId="9317" xr:uid="{00000000-0005-0000-0000-000042250000}"/>
    <cellStyle name="SAPBEXaggItem 7 2 2" xfId="9318" xr:uid="{00000000-0005-0000-0000-000043250000}"/>
    <cellStyle name="SAPBEXaggItem 7 2 3" xfId="9319" xr:uid="{00000000-0005-0000-0000-000044250000}"/>
    <cellStyle name="SAPBEXaggItem 7 2 4" xfId="9320" xr:uid="{00000000-0005-0000-0000-000045250000}"/>
    <cellStyle name="SAPBEXaggItem 7 2 5" xfId="9321" xr:uid="{00000000-0005-0000-0000-000046250000}"/>
    <cellStyle name="SAPBEXaggItem 7 3" xfId="9322" xr:uid="{00000000-0005-0000-0000-000047250000}"/>
    <cellStyle name="SAPBEXaggItem 7 4" xfId="9323" xr:uid="{00000000-0005-0000-0000-000048250000}"/>
    <cellStyle name="SAPBEXaggItem 7 5" xfId="9324" xr:uid="{00000000-0005-0000-0000-000049250000}"/>
    <cellStyle name="SAPBEXaggItem 7 6" xfId="9325" xr:uid="{00000000-0005-0000-0000-00004A250000}"/>
    <cellStyle name="SAPBEXaggItem 8" xfId="9326" xr:uid="{00000000-0005-0000-0000-00004B250000}"/>
    <cellStyle name="SAPBEXaggItem 8 2" xfId="9327" xr:uid="{00000000-0005-0000-0000-00004C250000}"/>
    <cellStyle name="SAPBEXaggItem 8 2 2" xfId="9328" xr:uid="{00000000-0005-0000-0000-00004D250000}"/>
    <cellStyle name="SAPBEXaggItem 8 2 3" xfId="9329" xr:uid="{00000000-0005-0000-0000-00004E250000}"/>
    <cellStyle name="SAPBEXaggItem 8 2 4" xfId="9330" xr:uid="{00000000-0005-0000-0000-00004F250000}"/>
    <cellStyle name="SAPBEXaggItem 8 2 5" xfId="9331" xr:uid="{00000000-0005-0000-0000-000050250000}"/>
    <cellStyle name="SAPBEXaggItem 8 3" xfId="9332" xr:uid="{00000000-0005-0000-0000-000051250000}"/>
    <cellStyle name="SAPBEXaggItem 8 4" xfId="9333" xr:uid="{00000000-0005-0000-0000-000052250000}"/>
    <cellStyle name="SAPBEXaggItem 8 5" xfId="9334" xr:uid="{00000000-0005-0000-0000-000053250000}"/>
    <cellStyle name="SAPBEXaggItem 8 6" xfId="9335" xr:uid="{00000000-0005-0000-0000-000054250000}"/>
    <cellStyle name="SAPBEXaggItem 9" xfId="9336" xr:uid="{00000000-0005-0000-0000-000055250000}"/>
    <cellStyle name="SAPBEXaggItem 9 2" xfId="9337" xr:uid="{00000000-0005-0000-0000-000056250000}"/>
    <cellStyle name="SAPBEXaggItem 9 2 2" xfId="9338" xr:uid="{00000000-0005-0000-0000-000057250000}"/>
    <cellStyle name="SAPBEXaggItem 9 2 3" xfId="9339" xr:uid="{00000000-0005-0000-0000-000058250000}"/>
    <cellStyle name="SAPBEXaggItem 9 2 4" xfId="9340" xr:uid="{00000000-0005-0000-0000-000059250000}"/>
    <cellStyle name="SAPBEXaggItem 9 2 5" xfId="9341" xr:uid="{00000000-0005-0000-0000-00005A250000}"/>
    <cellStyle name="SAPBEXaggItem 9 3" xfId="9342" xr:uid="{00000000-0005-0000-0000-00005B250000}"/>
    <cellStyle name="SAPBEXaggItem 9 4" xfId="9343" xr:uid="{00000000-0005-0000-0000-00005C250000}"/>
    <cellStyle name="SAPBEXaggItem 9 5" xfId="9344" xr:uid="{00000000-0005-0000-0000-00005D250000}"/>
    <cellStyle name="SAPBEXaggItem 9 6" xfId="9345" xr:uid="{00000000-0005-0000-0000-00005E250000}"/>
    <cellStyle name="SAPBEXaggItem_KTR An-Abflug" xfId="14700" xr:uid="{00000000-0005-0000-0000-00005F250000}"/>
    <cellStyle name="SAPBEXaggItemX" xfId="9346" xr:uid="{00000000-0005-0000-0000-000060250000}"/>
    <cellStyle name="SAPBEXaggItemX 10" xfId="9347" xr:uid="{00000000-0005-0000-0000-000061250000}"/>
    <cellStyle name="SAPBEXaggItemX 10 2" xfId="9348" xr:uid="{00000000-0005-0000-0000-000062250000}"/>
    <cellStyle name="SAPBEXaggItemX 10 2 2" xfId="9349" xr:uid="{00000000-0005-0000-0000-000063250000}"/>
    <cellStyle name="SAPBEXaggItemX 10 2 3" xfId="9350" xr:uid="{00000000-0005-0000-0000-000064250000}"/>
    <cellStyle name="SAPBEXaggItemX 10 2 4" xfId="9351" xr:uid="{00000000-0005-0000-0000-000065250000}"/>
    <cellStyle name="SAPBEXaggItemX 10 2 5" xfId="9352" xr:uid="{00000000-0005-0000-0000-000066250000}"/>
    <cellStyle name="SAPBEXaggItemX 10 3" xfId="9353" xr:uid="{00000000-0005-0000-0000-000067250000}"/>
    <cellStyle name="SAPBEXaggItemX 10 4" xfId="9354" xr:uid="{00000000-0005-0000-0000-000068250000}"/>
    <cellStyle name="SAPBEXaggItemX 10 5" xfId="9355" xr:uid="{00000000-0005-0000-0000-000069250000}"/>
    <cellStyle name="SAPBEXaggItemX 10 6" xfId="9356" xr:uid="{00000000-0005-0000-0000-00006A250000}"/>
    <cellStyle name="SAPBEXaggItemX 11" xfId="9357" xr:uid="{00000000-0005-0000-0000-00006B250000}"/>
    <cellStyle name="SAPBEXaggItemX 11 2" xfId="9358" xr:uid="{00000000-0005-0000-0000-00006C250000}"/>
    <cellStyle name="SAPBEXaggItemX 11 2 2" xfId="9359" xr:uid="{00000000-0005-0000-0000-00006D250000}"/>
    <cellStyle name="SAPBEXaggItemX 11 2 3" xfId="9360" xr:uid="{00000000-0005-0000-0000-00006E250000}"/>
    <cellStyle name="SAPBEXaggItemX 11 2 4" xfId="9361" xr:uid="{00000000-0005-0000-0000-00006F250000}"/>
    <cellStyle name="SAPBEXaggItemX 11 2 5" xfId="9362" xr:uid="{00000000-0005-0000-0000-000070250000}"/>
    <cellStyle name="SAPBEXaggItemX 11 3" xfId="9363" xr:uid="{00000000-0005-0000-0000-000071250000}"/>
    <cellStyle name="SAPBEXaggItemX 11 4" xfId="9364" xr:uid="{00000000-0005-0000-0000-000072250000}"/>
    <cellStyle name="SAPBEXaggItemX 11 5" xfId="9365" xr:uid="{00000000-0005-0000-0000-000073250000}"/>
    <cellStyle name="SAPBEXaggItemX 11 6" xfId="9366" xr:uid="{00000000-0005-0000-0000-000074250000}"/>
    <cellStyle name="SAPBEXaggItemX 12" xfId="9367" xr:uid="{00000000-0005-0000-0000-000075250000}"/>
    <cellStyle name="SAPBEXaggItemX 12 2" xfId="9368" xr:uid="{00000000-0005-0000-0000-000076250000}"/>
    <cellStyle name="SAPBEXaggItemX 12 2 2" xfId="9369" xr:uid="{00000000-0005-0000-0000-000077250000}"/>
    <cellStyle name="SAPBEXaggItemX 12 2 3" xfId="9370" xr:uid="{00000000-0005-0000-0000-000078250000}"/>
    <cellStyle name="SAPBEXaggItemX 12 2 4" xfId="9371" xr:uid="{00000000-0005-0000-0000-000079250000}"/>
    <cellStyle name="SAPBEXaggItemX 12 2 5" xfId="9372" xr:uid="{00000000-0005-0000-0000-00007A250000}"/>
    <cellStyle name="SAPBEXaggItemX 12 3" xfId="9373" xr:uid="{00000000-0005-0000-0000-00007B250000}"/>
    <cellStyle name="SAPBEXaggItemX 12 4" xfId="9374" xr:uid="{00000000-0005-0000-0000-00007C250000}"/>
    <cellStyle name="SAPBEXaggItemX 12 5" xfId="9375" xr:uid="{00000000-0005-0000-0000-00007D250000}"/>
    <cellStyle name="SAPBEXaggItemX 12 6" xfId="9376" xr:uid="{00000000-0005-0000-0000-00007E250000}"/>
    <cellStyle name="SAPBEXaggItemX 13" xfId="9377" xr:uid="{00000000-0005-0000-0000-00007F250000}"/>
    <cellStyle name="SAPBEXaggItemX 13 2" xfId="9378" xr:uid="{00000000-0005-0000-0000-000080250000}"/>
    <cellStyle name="SAPBEXaggItemX 13 2 2" xfId="9379" xr:uid="{00000000-0005-0000-0000-000081250000}"/>
    <cellStyle name="SAPBEXaggItemX 13 2 3" xfId="9380" xr:uid="{00000000-0005-0000-0000-000082250000}"/>
    <cellStyle name="SAPBEXaggItemX 13 2 4" xfId="9381" xr:uid="{00000000-0005-0000-0000-000083250000}"/>
    <cellStyle name="SAPBEXaggItemX 13 2 5" xfId="9382" xr:uid="{00000000-0005-0000-0000-000084250000}"/>
    <cellStyle name="SAPBEXaggItemX 13 3" xfId="9383" xr:uid="{00000000-0005-0000-0000-000085250000}"/>
    <cellStyle name="SAPBEXaggItemX 13 4" xfId="9384" xr:uid="{00000000-0005-0000-0000-000086250000}"/>
    <cellStyle name="SAPBEXaggItemX 13 5" xfId="9385" xr:uid="{00000000-0005-0000-0000-000087250000}"/>
    <cellStyle name="SAPBEXaggItemX 13 6" xfId="9386" xr:uid="{00000000-0005-0000-0000-000088250000}"/>
    <cellStyle name="SAPBEXaggItemX 14" xfId="9387" xr:uid="{00000000-0005-0000-0000-000089250000}"/>
    <cellStyle name="SAPBEXaggItemX 14 2" xfId="9388" xr:uid="{00000000-0005-0000-0000-00008A250000}"/>
    <cellStyle name="SAPBEXaggItemX 14 2 2" xfId="9389" xr:uid="{00000000-0005-0000-0000-00008B250000}"/>
    <cellStyle name="SAPBEXaggItemX 14 2 3" xfId="9390" xr:uid="{00000000-0005-0000-0000-00008C250000}"/>
    <cellStyle name="SAPBEXaggItemX 14 2 4" xfId="9391" xr:uid="{00000000-0005-0000-0000-00008D250000}"/>
    <cellStyle name="SAPBEXaggItemX 14 2 5" xfId="9392" xr:uid="{00000000-0005-0000-0000-00008E250000}"/>
    <cellStyle name="SAPBEXaggItemX 14 3" xfId="9393" xr:uid="{00000000-0005-0000-0000-00008F250000}"/>
    <cellStyle name="SAPBEXaggItemX 14 4" xfId="9394" xr:uid="{00000000-0005-0000-0000-000090250000}"/>
    <cellStyle name="SAPBEXaggItemX 14 5" xfId="9395" xr:uid="{00000000-0005-0000-0000-000091250000}"/>
    <cellStyle name="SAPBEXaggItemX 14 6" xfId="9396" xr:uid="{00000000-0005-0000-0000-000092250000}"/>
    <cellStyle name="SAPBEXaggItemX 15" xfId="9397" xr:uid="{00000000-0005-0000-0000-000093250000}"/>
    <cellStyle name="SAPBEXaggItemX 15 2" xfId="9398" xr:uid="{00000000-0005-0000-0000-000094250000}"/>
    <cellStyle name="SAPBEXaggItemX 15 2 2" xfId="9399" xr:uid="{00000000-0005-0000-0000-000095250000}"/>
    <cellStyle name="SAPBEXaggItemX 15 2 3" xfId="9400" xr:uid="{00000000-0005-0000-0000-000096250000}"/>
    <cellStyle name="SAPBEXaggItemX 15 2 4" xfId="9401" xr:uid="{00000000-0005-0000-0000-000097250000}"/>
    <cellStyle name="SAPBEXaggItemX 15 2 5" xfId="9402" xr:uid="{00000000-0005-0000-0000-000098250000}"/>
    <cellStyle name="SAPBEXaggItemX 15 3" xfId="9403" xr:uid="{00000000-0005-0000-0000-000099250000}"/>
    <cellStyle name="SAPBEXaggItemX 15 4" xfId="9404" xr:uid="{00000000-0005-0000-0000-00009A250000}"/>
    <cellStyle name="SAPBEXaggItemX 15 5" xfId="9405" xr:uid="{00000000-0005-0000-0000-00009B250000}"/>
    <cellStyle name="SAPBEXaggItemX 15 6" xfId="9406" xr:uid="{00000000-0005-0000-0000-00009C250000}"/>
    <cellStyle name="SAPBEXaggItemX 16" xfId="9407" xr:uid="{00000000-0005-0000-0000-00009D250000}"/>
    <cellStyle name="SAPBEXaggItemX 17" xfId="9408" xr:uid="{00000000-0005-0000-0000-00009E250000}"/>
    <cellStyle name="SAPBEXaggItemX 18" xfId="9409" xr:uid="{00000000-0005-0000-0000-00009F250000}"/>
    <cellStyle name="SAPBEXaggItemX 19" xfId="9410" xr:uid="{00000000-0005-0000-0000-0000A0250000}"/>
    <cellStyle name="SAPBEXaggItemX 2" xfId="9411" xr:uid="{00000000-0005-0000-0000-0000A1250000}"/>
    <cellStyle name="SAPBEXaggItemX 2 2" xfId="9412" xr:uid="{00000000-0005-0000-0000-0000A2250000}"/>
    <cellStyle name="SAPBEXaggItemX 2 2 2" xfId="9413" xr:uid="{00000000-0005-0000-0000-0000A3250000}"/>
    <cellStyle name="SAPBEXaggItemX 2 2 3" xfId="9414" xr:uid="{00000000-0005-0000-0000-0000A4250000}"/>
    <cellStyle name="SAPBEXaggItemX 2 2 4" xfId="9415" xr:uid="{00000000-0005-0000-0000-0000A5250000}"/>
    <cellStyle name="SAPBEXaggItemX 2 2 5" xfId="9416" xr:uid="{00000000-0005-0000-0000-0000A6250000}"/>
    <cellStyle name="SAPBEXaggItemX 2 3" xfId="9417" xr:uid="{00000000-0005-0000-0000-0000A7250000}"/>
    <cellStyle name="SAPBEXaggItemX 2 4" xfId="9418" xr:uid="{00000000-0005-0000-0000-0000A8250000}"/>
    <cellStyle name="SAPBEXaggItemX 2 5" xfId="9419" xr:uid="{00000000-0005-0000-0000-0000A9250000}"/>
    <cellStyle name="SAPBEXaggItemX 2 6" xfId="9420" xr:uid="{00000000-0005-0000-0000-0000AA250000}"/>
    <cellStyle name="SAPBEXaggItemX 3" xfId="9421" xr:uid="{00000000-0005-0000-0000-0000AB250000}"/>
    <cellStyle name="SAPBEXaggItemX 3 2" xfId="9422" xr:uid="{00000000-0005-0000-0000-0000AC250000}"/>
    <cellStyle name="SAPBEXaggItemX 3 2 2" xfId="9423" xr:uid="{00000000-0005-0000-0000-0000AD250000}"/>
    <cellStyle name="SAPBEXaggItemX 3 2 3" xfId="9424" xr:uid="{00000000-0005-0000-0000-0000AE250000}"/>
    <cellStyle name="SAPBEXaggItemX 3 2 4" xfId="9425" xr:uid="{00000000-0005-0000-0000-0000AF250000}"/>
    <cellStyle name="SAPBEXaggItemX 3 2 5" xfId="9426" xr:uid="{00000000-0005-0000-0000-0000B0250000}"/>
    <cellStyle name="SAPBEXaggItemX 3 3" xfId="9427" xr:uid="{00000000-0005-0000-0000-0000B1250000}"/>
    <cellStyle name="SAPBEXaggItemX 3 4" xfId="9428" xr:uid="{00000000-0005-0000-0000-0000B2250000}"/>
    <cellStyle name="SAPBEXaggItemX 3 5" xfId="9429" xr:uid="{00000000-0005-0000-0000-0000B3250000}"/>
    <cellStyle name="SAPBEXaggItemX 3 6" xfId="9430" xr:uid="{00000000-0005-0000-0000-0000B4250000}"/>
    <cellStyle name="SAPBEXaggItemX 4" xfId="9431" xr:uid="{00000000-0005-0000-0000-0000B5250000}"/>
    <cellStyle name="SAPBEXaggItemX 4 2" xfId="9432" xr:uid="{00000000-0005-0000-0000-0000B6250000}"/>
    <cellStyle name="SAPBEXaggItemX 4 2 2" xfId="9433" xr:uid="{00000000-0005-0000-0000-0000B7250000}"/>
    <cellStyle name="SAPBEXaggItemX 4 2 3" xfId="9434" xr:uid="{00000000-0005-0000-0000-0000B8250000}"/>
    <cellStyle name="SAPBEXaggItemX 4 2 4" xfId="9435" xr:uid="{00000000-0005-0000-0000-0000B9250000}"/>
    <cellStyle name="SAPBEXaggItemX 4 2 5" xfId="9436" xr:uid="{00000000-0005-0000-0000-0000BA250000}"/>
    <cellStyle name="SAPBEXaggItemX 4 3" xfId="9437" xr:uid="{00000000-0005-0000-0000-0000BB250000}"/>
    <cellStyle name="SAPBEXaggItemX 4 4" xfId="9438" xr:uid="{00000000-0005-0000-0000-0000BC250000}"/>
    <cellStyle name="SAPBEXaggItemX 4 5" xfId="9439" xr:uid="{00000000-0005-0000-0000-0000BD250000}"/>
    <cellStyle name="SAPBEXaggItemX 4 6" xfId="9440" xr:uid="{00000000-0005-0000-0000-0000BE250000}"/>
    <cellStyle name="SAPBEXaggItemX 5" xfId="9441" xr:uid="{00000000-0005-0000-0000-0000BF250000}"/>
    <cellStyle name="SAPBEXaggItemX 5 2" xfId="9442" xr:uid="{00000000-0005-0000-0000-0000C0250000}"/>
    <cellStyle name="SAPBEXaggItemX 5 2 2" xfId="9443" xr:uid="{00000000-0005-0000-0000-0000C1250000}"/>
    <cellStyle name="SAPBEXaggItemX 5 2 3" xfId="9444" xr:uid="{00000000-0005-0000-0000-0000C2250000}"/>
    <cellStyle name="SAPBEXaggItemX 5 2 4" xfId="9445" xr:uid="{00000000-0005-0000-0000-0000C3250000}"/>
    <cellStyle name="SAPBEXaggItemX 5 2 5" xfId="9446" xr:uid="{00000000-0005-0000-0000-0000C4250000}"/>
    <cellStyle name="SAPBEXaggItemX 5 3" xfId="9447" xr:uid="{00000000-0005-0000-0000-0000C5250000}"/>
    <cellStyle name="SAPBEXaggItemX 5 4" xfId="9448" xr:uid="{00000000-0005-0000-0000-0000C6250000}"/>
    <cellStyle name="SAPBEXaggItemX 5 5" xfId="9449" xr:uid="{00000000-0005-0000-0000-0000C7250000}"/>
    <cellStyle name="SAPBEXaggItemX 5 6" xfId="9450" xr:uid="{00000000-0005-0000-0000-0000C8250000}"/>
    <cellStyle name="SAPBEXaggItemX 6" xfId="9451" xr:uid="{00000000-0005-0000-0000-0000C9250000}"/>
    <cellStyle name="SAPBEXaggItemX 6 2" xfId="9452" xr:uid="{00000000-0005-0000-0000-0000CA250000}"/>
    <cellStyle name="SAPBEXaggItemX 6 2 2" xfId="9453" xr:uid="{00000000-0005-0000-0000-0000CB250000}"/>
    <cellStyle name="SAPBEXaggItemX 6 2 3" xfId="9454" xr:uid="{00000000-0005-0000-0000-0000CC250000}"/>
    <cellStyle name="SAPBEXaggItemX 6 2 4" xfId="9455" xr:uid="{00000000-0005-0000-0000-0000CD250000}"/>
    <cellStyle name="SAPBEXaggItemX 6 2 5" xfId="9456" xr:uid="{00000000-0005-0000-0000-0000CE250000}"/>
    <cellStyle name="SAPBEXaggItemX 6 3" xfId="9457" xr:uid="{00000000-0005-0000-0000-0000CF250000}"/>
    <cellStyle name="SAPBEXaggItemX 6 4" xfId="9458" xr:uid="{00000000-0005-0000-0000-0000D0250000}"/>
    <cellStyle name="SAPBEXaggItemX 6 5" xfId="9459" xr:uid="{00000000-0005-0000-0000-0000D1250000}"/>
    <cellStyle name="SAPBEXaggItemX 6 6" xfId="9460" xr:uid="{00000000-0005-0000-0000-0000D2250000}"/>
    <cellStyle name="SAPBEXaggItemX 7" xfId="9461" xr:uid="{00000000-0005-0000-0000-0000D3250000}"/>
    <cellStyle name="SAPBEXaggItemX 7 2" xfId="9462" xr:uid="{00000000-0005-0000-0000-0000D4250000}"/>
    <cellStyle name="SAPBEXaggItemX 7 2 2" xfId="9463" xr:uid="{00000000-0005-0000-0000-0000D5250000}"/>
    <cellStyle name="SAPBEXaggItemX 7 2 3" xfId="9464" xr:uid="{00000000-0005-0000-0000-0000D6250000}"/>
    <cellStyle name="SAPBEXaggItemX 7 2 4" xfId="9465" xr:uid="{00000000-0005-0000-0000-0000D7250000}"/>
    <cellStyle name="SAPBEXaggItemX 7 2 5" xfId="9466" xr:uid="{00000000-0005-0000-0000-0000D8250000}"/>
    <cellStyle name="SAPBEXaggItemX 7 3" xfId="9467" xr:uid="{00000000-0005-0000-0000-0000D9250000}"/>
    <cellStyle name="SAPBEXaggItemX 7 4" xfId="9468" xr:uid="{00000000-0005-0000-0000-0000DA250000}"/>
    <cellStyle name="SAPBEXaggItemX 7 5" xfId="9469" xr:uid="{00000000-0005-0000-0000-0000DB250000}"/>
    <cellStyle name="SAPBEXaggItemX 7 6" xfId="9470" xr:uid="{00000000-0005-0000-0000-0000DC250000}"/>
    <cellStyle name="SAPBEXaggItemX 8" xfId="9471" xr:uid="{00000000-0005-0000-0000-0000DD250000}"/>
    <cellStyle name="SAPBEXaggItemX 8 2" xfId="9472" xr:uid="{00000000-0005-0000-0000-0000DE250000}"/>
    <cellStyle name="SAPBEXaggItemX 8 2 2" xfId="9473" xr:uid="{00000000-0005-0000-0000-0000DF250000}"/>
    <cellStyle name="SAPBEXaggItemX 8 2 3" xfId="9474" xr:uid="{00000000-0005-0000-0000-0000E0250000}"/>
    <cellStyle name="SAPBEXaggItemX 8 2 4" xfId="9475" xr:uid="{00000000-0005-0000-0000-0000E1250000}"/>
    <cellStyle name="SAPBEXaggItemX 8 2 5" xfId="9476" xr:uid="{00000000-0005-0000-0000-0000E2250000}"/>
    <cellStyle name="SAPBEXaggItemX 8 3" xfId="9477" xr:uid="{00000000-0005-0000-0000-0000E3250000}"/>
    <cellStyle name="SAPBEXaggItemX 8 4" xfId="9478" xr:uid="{00000000-0005-0000-0000-0000E4250000}"/>
    <cellStyle name="SAPBEXaggItemX 8 5" xfId="9479" xr:uid="{00000000-0005-0000-0000-0000E5250000}"/>
    <cellStyle name="SAPBEXaggItemX 8 6" xfId="9480" xr:uid="{00000000-0005-0000-0000-0000E6250000}"/>
    <cellStyle name="SAPBEXaggItemX 9" xfId="9481" xr:uid="{00000000-0005-0000-0000-0000E7250000}"/>
    <cellStyle name="SAPBEXaggItemX 9 2" xfId="9482" xr:uid="{00000000-0005-0000-0000-0000E8250000}"/>
    <cellStyle name="SAPBEXaggItemX 9 2 2" xfId="9483" xr:uid="{00000000-0005-0000-0000-0000E9250000}"/>
    <cellStyle name="SAPBEXaggItemX 9 2 3" xfId="9484" xr:uid="{00000000-0005-0000-0000-0000EA250000}"/>
    <cellStyle name="SAPBEXaggItemX 9 2 4" xfId="9485" xr:uid="{00000000-0005-0000-0000-0000EB250000}"/>
    <cellStyle name="SAPBEXaggItemX 9 2 5" xfId="9486" xr:uid="{00000000-0005-0000-0000-0000EC250000}"/>
    <cellStyle name="SAPBEXaggItemX 9 3" xfId="9487" xr:uid="{00000000-0005-0000-0000-0000ED250000}"/>
    <cellStyle name="SAPBEXaggItemX 9 4" xfId="9488" xr:uid="{00000000-0005-0000-0000-0000EE250000}"/>
    <cellStyle name="SAPBEXaggItemX 9 5" xfId="9489" xr:uid="{00000000-0005-0000-0000-0000EF250000}"/>
    <cellStyle name="SAPBEXaggItemX 9 6" xfId="9490" xr:uid="{00000000-0005-0000-0000-0000F0250000}"/>
    <cellStyle name="SAPBEXaggItemX_KTR An-Abflug" xfId="14874" xr:uid="{00000000-0005-0000-0000-0000F1250000}"/>
    <cellStyle name="SAPBEXchaText" xfId="9491" xr:uid="{00000000-0005-0000-0000-0000F2250000}"/>
    <cellStyle name="SAPBEXchaText 10" xfId="9492" xr:uid="{00000000-0005-0000-0000-0000F3250000}"/>
    <cellStyle name="SAPBEXchaText 10 2" xfId="9493" xr:uid="{00000000-0005-0000-0000-0000F4250000}"/>
    <cellStyle name="SAPBEXchaText 10 2 2" xfId="9494" xr:uid="{00000000-0005-0000-0000-0000F5250000}"/>
    <cellStyle name="SAPBEXchaText 10 2 3" xfId="9495" xr:uid="{00000000-0005-0000-0000-0000F6250000}"/>
    <cellStyle name="SAPBEXchaText 10 2 4" xfId="9496" xr:uid="{00000000-0005-0000-0000-0000F7250000}"/>
    <cellStyle name="SAPBEXchaText 10 2 5" xfId="9497" xr:uid="{00000000-0005-0000-0000-0000F8250000}"/>
    <cellStyle name="SAPBEXchaText 10 3" xfId="9498" xr:uid="{00000000-0005-0000-0000-0000F9250000}"/>
    <cellStyle name="SAPBEXchaText 10 4" xfId="9499" xr:uid="{00000000-0005-0000-0000-0000FA250000}"/>
    <cellStyle name="SAPBEXchaText 10 5" xfId="9500" xr:uid="{00000000-0005-0000-0000-0000FB250000}"/>
    <cellStyle name="SAPBEXchaText 10 6" xfId="9501" xr:uid="{00000000-0005-0000-0000-0000FC250000}"/>
    <cellStyle name="SAPBEXchaText 11" xfId="9502" xr:uid="{00000000-0005-0000-0000-0000FD250000}"/>
    <cellStyle name="SAPBEXchaText 11 2" xfId="9503" xr:uid="{00000000-0005-0000-0000-0000FE250000}"/>
    <cellStyle name="SAPBEXchaText 11 2 2" xfId="9504" xr:uid="{00000000-0005-0000-0000-0000FF250000}"/>
    <cellStyle name="SAPBEXchaText 11 2 3" xfId="9505" xr:uid="{00000000-0005-0000-0000-000000260000}"/>
    <cellStyle name="SAPBEXchaText 11 2 4" xfId="9506" xr:uid="{00000000-0005-0000-0000-000001260000}"/>
    <cellStyle name="SAPBEXchaText 11 2 5" xfId="9507" xr:uid="{00000000-0005-0000-0000-000002260000}"/>
    <cellStyle name="SAPBEXchaText 11 3" xfId="9508" xr:uid="{00000000-0005-0000-0000-000003260000}"/>
    <cellStyle name="SAPBEXchaText 11 4" xfId="9509" xr:uid="{00000000-0005-0000-0000-000004260000}"/>
    <cellStyle name="SAPBEXchaText 11 5" xfId="9510" xr:uid="{00000000-0005-0000-0000-000005260000}"/>
    <cellStyle name="SAPBEXchaText 11 6" xfId="9511" xr:uid="{00000000-0005-0000-0000-000006260000}"/>
    <cellStyle name="SAPBEXchaText 12" xfId="9512" xr:uid="{00000000-0005-0000-0000-000007260000}"/>
    <cellStyle name="SAPBEXchaText 12 2" xfId="9513" xr:uid="{00000000-0005-0000-0000-000008260000}"/>
    <cellStyle name="SAPBEXchaText 12 2 2" xfId="9514" xr:uid="{00000000-0005-0000-0000-000009260000}"/>
    <cellStyle name="SAPBEXchaText 12 2 3" xfId="9515" xr:uid="{00000000-0005-0000-0000-00000A260000}"/>
    <cellStyle name="SAPBEXchaText 12 2 4" xfId="9516" xr:uid="{00000000-0005-0000-0000-00000B260000}"/>
    <cellStyle name="SAPBEXchaText 12 2 5" xfId="9517" xr:uid="{00000000-0005-0000-0000-00000C260000}"/>
    <cellStyle name="SAPBEXchaText 12 3" xfId="9518" xr:uid="{00000000-0005-0000-0000-00000D260000}"/>
    <cellStyle name="SAPBEXchaText 12 4" xfId="9519" xr:uid="{00000000-0005-0000-0000-00000E260000}"/>
    <cellStyle name="SAPBEXchaText 12 5" xfId="9520" xr:uid="{00000000-0005-0000-0000-00000F260000}"/>
    <cellStyle name="SAPBEXchaText 12 6" xfId="9521" xr:uid="{00000000-0005-0000-0000-000010260000}"/>
    <cellStyle name="SAPBEXchaText 13" xfId="9522" xr:uid="{00000000-0005-0000-0000-000011260000}"/>
    <cellStyle name="SAPBEXchaText 13 2" xfId="9523" xr:uid="{00000000-0005-0000-0000-000012260000}"/>
    <cellStyle name="SAPBEXchaText 13 2 2" xfId="9524" xr:uid="{00000000-0005-0000-0000-000013260000}"/>
    <cellStyle name="SAPBEXchaText 13 2 3" xfId="9525" xr:uid="{00000000-0005-0000-0000-000014260000}"/>
    <cellStyle name="SAPBEXchaText 13 2 4" xfId="9526" xr:uid="{00000000-0005-0000-0000-000015260000}"/>
    <cellStyle name="SAPBEXchaText 13 2 5" xfId="9527" xr:uid="{00000000-0005-0000-0000-000016260000}"/>
    <cellStyle name="SAPBEXchaText 13 3" xfId="9528" xr:uid="{00000000-0005-0000-0000-000017260000}"/>
    <cellStyle name="SAPBEXchaText 13 4" xfId="9529" xr:uid="{00000000-0005-0000-0000-000018260000}"/>
    <cellStyle name="SAPBEXchaText 13 5" xfId="9530" xr:uid="{00000000-0005-0000-0000-000019260000}"/>
    <cellStyle name="SAPBEXchaText 13 6" xfId="9531" xr:uid="{00000000-0005-0000-0000-00001A260000}"/>
    <cellStyle name="SAPBEXchaText 14" xfId="9532" xr:uid="{00000000-0005-0000-0000-00001B260000}"/>
    <cellStyle name="SAPBEXchaText 14 2" xfId="9533" xr:uid="{00000000-0005-0000-0000-00001C260000}"/>
    <cellStyle name="SAPBEXchaText 14 2 2" xfId="9534" xr:uid="{00000000-0005-0000-0000-00001D260000}"/>
    <cellStyle name="SAPBEXchaText 14 2 3" xfId="9535" xr:uid="{00000000-0005-0000-0000-00001E260000}"/>
    <cellStyle name="SAPBEXchaText 14 2 4" xfId="9536" xr:uid="{00000000-0005-0000-0000-00001F260000}"/>
    <cellStyle name="SAPBEXchaText 14 2 5" xfId="9537" xr:uid="{00000000-0005-0000-0000-000020260000}"/>
    <cellStyle name="SAPBEXchaText 14 3" xfId="9538" xr:uid="{00000000-0005-0000-0000-000021260000}"/>
    <cellStyle name="SAPBEXchaText 14 4" xfId="9539" xr:uid="{00000000-0005-0000-0000-000022260000}"/>
    <cellStyle name="SAPBEXchaText 14 5" xfId="9540" xr:uid="{00000000-0005-0000-0000-000023260000}"/>
    <cellStyle name="SAPBEXchaText 14 6" xfId="9541" xr:uid="{00000000-0005-0000-0000-000024260000}"/>
    <cellStyle name="SAPBEXchaText 15" xfId="9542" xr:uid="{00000000-0005-0000-0000-000025260000}"/>
    <cellStyle name="SAPBEXchaText 15 2" xfId="9543" xr:uid="{00000000-0005-0000-0000-000026260000}"/>
    <cellStyle name="SAPBEXchaText 15 2 2" xfId="9544" xr:uid="{00000000-0005-0000-0000-000027260000}"/>
    <cellStyle name="SAPBEXchaText 15 2 3" xfId="9545" xr:uid="{00000000-0005-0000-0000-000028260000}"/>
    <cellStyle name="SAPBEXchaText 15 2 4" xfId="9546" xr:uid="{00000000-0005-0000-0000-000029260000}"/>
    <cellStyle name="SAPBEXchaText 15 2 5" xfId="9547" xr:uid="{00000000-0005-0000-0000-00002A260000}"/>
    <cellStyle name="SAPBEXchaText 15 3" xfId="9548" xr:uid="{00000000-0005-0000-0000-00002B260000}"/>
    <cellStyle name="SAPBEXchaText 15 4" xfId="9549" xr:uid="{00000000-0005-0000-0000-00002C260000}"/>
    <cellStyle name="SAPBEXchaText 15 5" xfId="9550" xr:uid="{00000000-0005-0000-0000-00002D260000}"/>
    <cellStyle name="SAPBEXchaText 15 6" xfId="9551" xr:uid="{00000000-0005-0000-0000-00002E260000}"/>
    <cellStyle name="SAPBEXchaText 16" xfId="9552" xr:uid="{00000000-0005-0000-0000-00002F260000}"/>
    <cellStyle name="SAPBEXchaText 17" xfId="9553" xr:uid="{00000000-0005-0000-0000-000030260000}"/>
    <cellStyle name="SAPBEXchaText 18" xfId="9554" xr:uid="{00000000-0005-0000-0000-000031260000}"/>
    <cellStyle name="SAPBEXchaText 19" xfId="9555" xr:uid="{00000000-0005-0000-0000-000032260000}"/>
    <cellStyle name="SAPBEXchaText 2" xfId="9556" xr:uid="{00000000-0005-0000-0000-000033260000}"/>
    <cellStyle name="SAPBEXchaText 2 2" xfId="9557" xr:uid="{00000000-0005-0000-0000-000034260000}"/>
    <cellStyle name="SAPBEXchaText 2 2 2" xfId="9558" xr:uid="{00000000-0005-0000-0000-000035260000}"/>
    <cellStyle name="SAPBEXchaText 2 2 3" xfId="9559" xr:uid="{00000000-0005-0000-0000-000036260000}"/>
    <cellStyle name="SAPBEXchaText 2 2 4" xfId="9560" xr:uid="{00000000-0005-0000-0000-000037260000}"/>
    <cellStyle name="SAPBEXchaText 2 2 5" xfId="9561" xr:uid="{00000000-0005-0000-0000-000038260000}"/>
    <cellStyle name="SAPBEXchaText 2 3" xfId="9562" xr:uid="{00000000-0005-0000-0000-000039260000}"/>
    <cellStyle name="SAPBEXchaText 2 4" xfId="9563" xr:uid="{00000000-0005-0000-0000-00003A260000}"/>
    <cellStyle name="SAPBEXchaText 2 5" xfId="9564" xr:uid="{00000000-0005-0000-0000-00003B260000}"/>
    <cellStyle name="SAPBEXchaText 2 6" xfId="9565" xr:uid="{00000000-0005-0000-0000-00003C260000}"/>
    <cellStyle name="SAPBEXchaText 3" xfId="9566" xr:uid="{00000000-0005-0000-0000-00003D260000}"/>
    <cellStyle name="SAPBEXchaText 3 2" xfId="9567" xr:uid="{00000000-0005-0000-0000-00003E260000}"/>
    <cellStyle name="SAPBEXchaText 3 2 2" xfId="9568" xr:uid="{00000000-0005-0000-0000-00003F260000}"/>
    <cellStyle name="SAPBEXchaText 3 2 3" xfId="9569" xr:uid="{00000000-0005-0000-0000-000040260000}"/>
    <cellStyle name="SAPBEXchaText 3 2 4" xfId="9570" xr:uid="{00000000-0005-0000-0000-000041260000}"/>
    <cellStyle name="SAPBEXchaText 3 2 5" xfId="9571" xr:uid="{00000000-0005-0000-0000-000042260000}"/>
    <cellStyle name="SAPBEXchaText 3 3" xfId="9572" xr:uid="{00000000-0005-0000-0000-000043260000}"/>
    <cellStyle name="SAPBEXchaText 3 4" xfId="9573" xr:uid="{00000000-0005-0000-0000-000044260000}"/>
    <cellStyle name="SAPBEXchaText 3 5" xfId="9574" xr:uid="{00000000-0005-0000-0000-000045260000}"/>
    <cellStyle name="SAPBEXchaText 3 6" xfId="9575" xr:uid="{00000000-0005-0000-0000-000046260000}"/>
    <cellStyle name="SAPBEXchaText 4" xfId="9576" xr:uid="{00000000-0005-0000-0000-000047260000}"/>
    <cellStyle name="SAPBEXchaText 4 2" xfId="9577" xr:uid="{00000000-0005-0000-0000-000048260000}"/>
    <cellStyle name="SAPBEXchaText 4 2 2" xfId="9578" xr:uid="{00000000-0005-0000-0000-000049260000}"/>
    <cellStyle name="SAPBEXchaText 4 2 3" xfId="9579" xr:uid="{00000000-0005-0000-0000-00004A260000}"/>
    <cellStyle name="SAPBEXchaText 4 2 4" xfId="9580" xr:uid="{00000000-0005-0000-0000-00004B260000}"/>
    <cellStyle name="SAPBEXchaText 4 2 5" xfId="9581" xr:uid="{00000000-0005-0000-0000-00004C260000}"/>
    <cellStyle name="SAPBEXchaText 4 3" xfId="9582" xr:uid="{00000000-0005-0000-0000-00004D260000}"/>
    <cellStyle name="SAPBEXchaText 4 4" xfId="9583" xr:uid="{00000000-0005-0000-0000-00004E260000}"/>
    <cellStyle name="SAPBEXchaText 4 5" xfId="9584" xr:uid="{00000000-0005-0000-0000-00004F260000}"/>
    <cellStyle name="SAPBEXchaText 4 6" xfId="9585" xr:uid="{00000000-0005-0000-0000-000050260000}"/>
    <cellStyle name="SAPBEXchaText 5" xfId="9586" xr:uid="{00000000-0005-0000-0000-000051260000}"/>
    <cellStyle name="SAPBEXchaText 5 2" xfId="9587" xr:uid="{00000000-0005-0000-0000-000052260000}"/>
    <cellStyle name="SAPBEXchaText 5 2 2" xfId="9588" xr:uid="{00000000-0005-0000-0000-000053260000}"/>
    <cellStyle name="SAPBEXchaText 5 2 3" xfId="9589" xr:uid="{00000000-0005-0000-0000-000054260000}"/>
    <cellStyle name="SAPBEXchaText 5 2 4" xfId="9590" xr:uid="{00000000-0005-0000-0000-000055260000}"/>
    <cellStyle name="SAPBEXchaText 5 2 5" xfId="9591" xr:uid="{00000000-0005-0000-0000-000056260000}"/>
    <cellStyle name="SAPBEXchaText 5 3" xfId="9592" xr:uid="{00000000-0005-0000-0000-000057260000}"/>
    <cellStyle name="SAPBEXchaText 5 4" xfId="9593" xr:uid="{00000000-0005-0000-0000-000058260000}"/>
    <cellStyle name="SAPBEXchaText 5 5" xfId="9594" xr:uid="{00000000-0005-0000-0000-000059260000}"/>
    <cellStyle name="SAPBEXchaText 5 6" xfId="9595" xr:uid="{00000000-0005-0000-0000-00005A260000}"/>
    <cellStyle name="SAPBEXchaText 6" xfId="9596" xr:uid="{00000000-0005-0000-0000-00005B260000}"/>
    <cellStyle name="SAPBEXchaText 6 2" xfId="9597" xr:uid="{00000000-0005-0000-0000-00005C260000}"/>
    <cellStyle name="SAPBEXchaText 6 2 2" xfId="9598" xr:uid="{00000000-0005-0000-0000-00005D260000}"/>
    <cellStyle name="SAPBEXchaText 6 2 3" xfId="9599" xr:uid="{00000000-0005-0000-0000-00005E260000}"/>
    <cellStyle name="SAPBEXchaText 6 2 4" xfId="9600" xr:uid="{00000000-0005-0000-0000-00005F260000}"/>
    <cellStyle name="SAPBEXchaText 6 2 5" xfId="9601" xr:uid="{00000000-0005-0000-0000-000060260000}"/>
    <cellStyle name="SAPBEXchaText 6 3" xfId="9602" xr:uid="{00000000-0005-0000-0000-000061260000}"/>
    <cellStyle name="SAPBEXchaText 6 4" xfId="9603" xr:uid="{00000000-0005-0000-0000-000062260000}"/>
    <cellStyle name="SAPBEXchaText 6 5" xfId="9604" xr:uid="{00000000-0005-0000-0000-000063260000}"/>
    <cellStyle name="SAPBEXchaText 6 6" xfId="9605" xr:uid="{00000000-0005-0000-0000-000064260000}"/>
    <cellStyle name="SAPBEXchaText 7" xfId="9606" xr:uid="{00000000-0005-0000-0000-000065260000}"/>
    <cellStyle name="SAPBEXchaText 7 2" xfId="9607" xr:uid="{00000000-0005-0000-0000-000066260000}"/>
    <cellStyle name="SAPBEXchaText 7 2 2" xfId="9608" xr:uid="{00000000-0005-0000-0000-000067260000}"/>
    <cellStyle name="SAPBEXchaText 7 2 3" xfId="9609" xr:uid="{00000000-0005-0000-0000-000068260000}"/>
    <cellStyle name="SAPBEXchaText 7 2 4" xfId="9610" xr:uid="{00000000-0005-0000-0000-000069260000}"/>
    <cellStyle name="SAPBEXchaText 7 2 5" xfId="9611" xr:uid="{00000000-0005-0000-0000-00006A260000}"/>
    <cellStyle name="SAPBEXchaText 7 3" xfId="9612" xr:uid="{00000000-0005-0000-0000-00006B260000}"/>
    <cellStyle name="SAPBEXchaText 7 4" xfId="9613" xr:uid="{00000000-0005-0000-0000-00006C260000}"/>
    <cellStyle name="SAPBEXchaText 7 5" xfId="9614" xr:uid="{00000000-0005-0000-0000-00006D260000}"/>
    <cellStyle name="SAPBEXchaText 7 6" xfId="9615" xr:uid="{00000000-0005-0000-0000-00006E260000}"/>
    <cellStyle name="SAPBEXchaText 8" xfId="9616" xr:uid="{00000000-0005-0000-0000-00006F260000}"/>
    <cellStyle name="SAPBEXchaText 8 2" xfId="9617" xr:uid="{00000000-0005-0000-0000-000070260000}"/>
    <cellStyle name="SAPBEXchaText 8 2 2" xfId="9618" xr:uid="{00000000-0005-0000-0000-000071260000}"/>
    <cellStyle name="SAPBEXchaText 8 2 3" xfId="9619" xr:uid="{00000000-0005-0000-0000-000072260000}"/>
    <cellStyle name="SAPBEXchaText 8 2 4" xfId="9620" xr:uid="{00000000-0005-0000-0000-000073260000}"/>
    <cellStyle name="SAPBEXchaText 8 2 5" xfId="9621" xr:uid="{00000000-0005-0000-0000-000074260000}"/>
    <cellStyle name="SAPBEXchaText 8 3" xfId="9622" xr:uid="{00000000-0005-0000-0000-000075260000}"/>
    <cellStyle name="SAPBEXchaText 8 4" xfId="9623" xr:uid="{00000000-0005-0000-0000-000076260000}"/>
    <cellStyle name="SAPBEXchaText 8 5" xfId="9624" xr:uid="{00000000-0005-0000-0000-000077260000}"/>
    <cellStyle name="SAPBEXchaText 8 6" xfId="9625" xr:uid="{00000000-0005-0000-0000-000078260000}"/>
    <cellStyle name="SAPBEXchaText 9" xfId="9626" xr:uid="{00000000-0005-0000-0000-000079260000}"/>
    <cellStyle name="SAPBEXchaText 9 2" xfId="9627" xr:uid="{00000000-0005-0000-0000-00007A260000}"/>
    <cellStyle name="SAPBEXchaText 9 2 2" xfId="9628" xr:uid="{00000000-0005-0000-0000-00007B260000}"/>
    <cellStyle name="SAPBEXchaText 9 2 3" xfId="9629" xr:uid="{00000000-0005-0000-0000-00007C260000}"/>
    <cellStyle name="SAPBEXchaText 9 2 4" xfId="9630" xr:uid="{00000000-0005-0000-0000-00007D260000}"/>
    <cellStyle name="SAPBEXchaText 9 2 5" xfId="9631" xr:uid="{00000000-0005-0000-0000-00007E260000}"/>
    <cellStyle name="SAPBEXchaText 9 3" xfId="9632" xr:uid="{00000000-0005-0000-0000-00007F260000}"/>
    <cellStyle name="SAPBEXchaText 9 4" xfId="9633" xr:uid="{00000000-0005-0000-0000-000080260000}"/>
    <cellStyle name="SAPBEXchaText 9 5" xfId="9634" xr:uid="{00000000-0005-0000-0000-000081260000}"/>
    <cellStyle name="SAPBEXchaText 9 6" xfId="9635" xr:uid="{00000000-0005-0000-0000-000082260000}"/>
    <cellStyle name="SAPBEXchaText_KTR An-Abflug" xfId="14897" xr:uid="{00000000-0005-0000-0000-000083260000}"/>
    <cellStyle name="SAPBEXexcBad7" xfId="9636" xr:uid="{00000000-0005-0000-0000-000084260000}"/>
    <cellStyle name="SAPBEXexcBad7 10" xfId="9637" xr:uid="{00000000-0005-0000-0000-000085260000}"/>
    <cellStyle name="SAPBEXexcBad7 10 2" xfId="9638" xr:uid="{00000000-0005-0000-0000-000086260000}"/>
    <cellStyle name="SAPBEXexcBad7 10 2 2" xfId="9639" xr:uid="{00000000-0005-0000-0000-000087260000}"/>
    <cellStyle name="SAPBEXexcBad7 10 2 3" xfId="9640" xr:uid="{00000000-0005-0000-0000-000088260000}"/>
    <cellStyle name="SAPBEXexcBad7 10 2 4" xfId="9641" xr:uid="{00000000-0005-0000-0000-000089260000}"/>
    <cellStyle name="SAPBEXexcBad7 10 2 5" xfId="9642" xr:uid="{00000000-0005-0000-0000-00008A260000}"/>
    <cellStyle name="SAPBEXexcBad7 10 3" xfId="9643" xr:uid="{00000000-0005-0000-0000-00008B260000}"/>
    <cellStyle name="SAPBEXexcBad7 10 4" xfId="9644" xr:uid="{00000000-0005-0000-0000-00008C260000}"/>
    <cellStyle name="SAPBEXexcBad7 10 5" xfId="9645" xr:uid="{00000000-0005-0000-0000-00008D260000}"/>
    <cellStyle name="SAPBEXexcBad7 10 6" xfId="9646" xr:uid="{00000000-0005-0000-0000-00008E260000}"/>
    <cellStyle name="SAPBEXexcBad7 11" xfId="9647" xr:uid="{00000000-0005-0000-0000-00008F260000}"/>
    <cellStyle name="SAPBEXexcBad7 11 2" xfId="9648" xr:uid="{00000000-0005-0000-0000-000090260000}"/>
    <cellStyle name="SAPBEXexcBad7 11 2 2" xfId="9649" xr:uid="{00000000-0005-0000-0000-000091260000}"/>
    <cellStyle name="SAPBEXexcBad7 11 2 3" xfId="9650" xr:uid="{00000000-0005-0000-0000-000092260000}"/>
    <cellStyle name="SAPBEXexcBad7 11 2 4" xfId="9651" xr:uid="{00000000-0005-0000-0000-000093260000}"/>
    <cellStyle name="SAPBEXexcBad7 11 2 5" xfId="9652" xr:uid="{00000000-0005-0000-0000-000094260000}"/>
    <cellStyle name="SAPBEXexcBad7 11 3" xfId="9653" xr:uid="{00000000-0005-0000-0000-000095260000}"/>
    <cellStyle name="SAPBEXexcBad7 11 4" xfId="9654" xr:uid="{00000000-0005-0000-0000-000096260000}"/>
    <cellStyle name="SAPBEXexcBad7 11 5" xfId="9655" xr:uid="{00000000-0005-0000-0000-000097260000}"/>
    <cellStyle name="SAPBEXexcBad7 11 6" xfId="9656" xr:uid="{00000000-0005-0000-0000-000098260000}"/>
    <cellStyle name="SAPBEXexcBad7 12" xfId="9657" xr:uid="{00000000-0005-0000-0000-000099260000}"/>
    <cellStyle name="SAPBEXexcBad7 12 2" xfId="9658" xr:uid="{00000000-0005-0000-0000-00009A260000}"/>
    <cellStyle name="SAPBEXexcBad7 12 2 2" xfId="9659" xr:uid="{00000000-0005-0000-0000-00009B260000}"/>
    <cellStyle name="SAPBEXexcBad7 12 2 3" xfId="9660" xr:uid="{00000000-0005-0000-0000-00009C260000}"/>
    <cellStyle name="SAPBEXexcBad7 12 2 4" xfId="9661" xr:uid="{00000000-0005-0000-0000-00009D260000}"/>
    <cellStyle name="SAPBEXexcBad7 12 2 5" xfId="9662" xr:uid="{00000000-0005-0000-0000-00009E260000}"/>
    <cellStyle name="SAPBEXexcBad7 12 3" xfId="9663" xr:uid="{00000000-0005-0000-0000-00009F260000}"/>
    <cellStyle name="SAPBEXexcBad7 12 4" xfId="9664" xr:uid="{00000000-0005-0000-0000-0000A0260000}"/>
    <cellStyle name="SAPBEXexcBad7 12 5" xfId="9665" xr:uid="{00000000-0005-0000-0000-0000A1260000}"/>
    <cellStyle name="SAPBEXexcBad7 12 6" xfId="9666" xr:uid="{00000000-0005-0000-0000-0000A2260000}"/>
    <cellStyle name="SAPBEXexcBad7 13" xfId="9667" xr:uid="{00000000-0005-0000-0000-0000A3260000}"/>
    <cellStyle name="SAPBEXexcBad7 13 2" xfId="9668" xr:uid="{00000000-0005-0000-0000-0000A4260000}"/>
    <cellStyle name="SAPBEXexcBad7 13 2 2" xfId="9669" xr:uid="{00000000-0005-0000-0000-0000A5260000}"/>
    <cellStyle name="SAPBEXexcBad7 13 2 3" xfId="9670" xr:uid="{00000000-0005-0000-0000-0000A6260000}"/>
    <cellStyle name="SAPBEXexcBad7 13 2 4" xfId="9671" xr:uid="{00000000-0005-0000-0000-0000A7260000}"/>
    <cellStyle name="SAPBEXexcBad7 13 2 5" xfId="9672" xr:uid="{00000000-0005-0000-0000-0000A8260000}"/>
    <cellStyle name="SAPBEXexcBad7 13 3" xfId="9673" xr:uid="{00000000-0005-0000-0000-0000A9260000}"/>
    <cellStyle name="SAPBEXexcBad7 13 4" xfId="9674" xr:uid="{00000000-0005-0000-0000-0000AA260000}"/>
    <cellStyle name="SAPBEXexcBad7 13 5" xfId="9675" xr:uid="{00000000-0005-0000-0000-0000AB260000}"/>
    <cellStyle name="SAPBEXexcBad7 13 6" xfId="9676" xr:uid="{00000000-0005-0000-0000-0000AC260000}"/>
    <cellStyle name="SAPBEXexcBad7 14" xfId="9677" xr:uid="{00000000-0005-0000-0000-0000AD260000}"/>
    <cellStyle name="SAPBEXexcBad7 14 2" xfId="9678" xr:uid="{00000000-0005-0000-0000-0000AE260000}"/>
    <cellStyle name="SAPBEXexcBad7 14 2 2" xfId="9679" xr:uid="{00000000-0005-0000-0000-0000AF260000}"/>
    <cellStyle name="SAPBEXexcBad7 14 2 3" xfId="9680" xr:uid="{00000000-0005-0000-0000-0000B0260000}"/>
    <cellStyle name="SAPBEXexcBad7 14 2 4" xfId="9681" xr:uid="{00000000-0005-0000-0000-0000B1260000}"/>
    <cellStyle name="SAPBEXexcBad7 14 2 5" xfId="9682" xr:uid="{00000000-0005-0000-0000-0000B2260000}"/>
    <cellStyle name="SAPBEXexcBad7 14 3" xfId="9683" xr:uid="{00000000-0005-0000-0000-0000B3260000}"/>
    <cellStyle name="SAPBEXexcBad7 14 4" xfId="9684" xr:uid="{00000000-0005-0000-0000-0000B4260000}"/>
    <cellStyle name="SAPBEXexcBad7 14 5" xfId="9685" xr:uid="{00000000-0005-0000-0000-0000B5260000}"/>
    <cellStyle name="SAPBEXexcBad7 14 6" xfId="9686" xr:uid="{00000000-0005-0000-0000-0000B6260000}"/>
    <cellStyle name="SAPBEXexcBad7 15" xfId="9687" xr:uid="{00000000-0005-0000-0000-0000B7260000}"/>
    <cellStyle name="SAPBEXexcBad7 15 2" xfId="9688" xr:uid="{00000000-0005-0000-0000-0000B8260000}"/>
    <cellStyle name="SAPBEXexcBad7 15 2 2" xfId="9689" xr:uid="{00000000-0005-0000-0000-0000B9260000}"/>
    <cellStyle name="SAPBEXexcBad7 15 2 3" xfId="9690" xr:uid="{00000000-0005-0000-0000-0000BA260000}"/>
    <cellStyle name="SAPBEXexcBad7 15 2 4" xfId="9691" xr:uid="{00000000-0005-0000-0000-0000BB260000}"/>
    <cellStyle name="SAPBEXexcBad7 15 2 5" xfId="9692" xr:uid="{00000000-0005-0000-0000-0000BC260000}"/>
    <cellStyle name="SAPBEXexcBad7 15 3" xfId="9693" xr:uid="{00000000-0005-0000-0000-0000BD260000}"/>
    <cellStyle name="SAPBEXexcBad7 15 4" xfId="9694" xr:uid="{00000000-0005-0000-0000-0000BE260000}"/>
    <cellStyle name="SAPBEXexcBad7 15 5" xfId="9695" xr:uid="{00000000-0005-0000-0000-0000BF260000}"/>
    <cellStyle name="SAPBEXexcBad7 15 6" xfId="9696" xr:uid="{00000000-0005-0000-0000-0000C0260000}"/>
    <cellStyle name="SAPBEXexcBad7 16" xfId="9697" xr:uid="{00000000-0005-0000-0000-0000C1260000}"/>
    <cellStyle name="SAPBEXexcBad7 17" xfId="9698" xr:uid="{00000000-0005-0000-0000-0000C2260000}"/>
    <cellStyle name="SAPBEXexcBad7 18" xfId="9699" xr:uid="{00000000-0005-0000-0000-0000C3260000}"/>
    <cellStyle name="SAPBEXexcBad7 19" xfId="9700" xr:uid="{00000000-0005-0000-0000-0000C4260000}"/>
    <cellStyle name="SAPBEXexcBad7 2" xfId="9701" xr:uid="{00000000-0005-0000-0000-0000C5260000}"/>
    <cellStyle name="SAPBEXexcBad7 2 2" xfId="9702" xr:uid="{00000000-0005-0000-0000-0000C6260000}"/>
    <cellStyle name="SAPBEXexcBad7 2 2 2" xfId="9703" xr:uid="{00000000-0005-0000-0000-0000C7260000}"/>
    <cellStyle name="SAPBEXexcBad7 2 2 3" xfId="9704" xr:uid="{00000000-0005-0000-0000-0000C8260000}"/>
    <cellStyle name="SAPBEXexcBad7 2 2 4" xfId="9705" xr:uid="{00000000-0005-0000-0000-0000C9260000}"/>
    <cellStyle name="SAPBEXexcBad7 2 2 5" xfId="9706" xr:uid="{00000000-0005-0000-0000-0000CA260000}"/>
    <cellStyle name="SAPBEXexcBad7 2 3" xfId="9707" xr:uid="{00000000-0005-0000-0000-0000CB260000}"/>
    <cellStyle name="SAPBEXexcBad7 2 4" xfId="9708" xr:uid="{00000000-0005-0000-0000-0000CC260000}"/>
    <cellStyle name="SAPBEXexcBad7 2 5" xfId="9709" xr:uid="{00000000-0005-0000-0000-0000CD260000}"/>
    <cellStyle name="SAPBEXexcBad7 2 6" xfId="9710" xr:uid="{00000000-0005-0000-0000-0000CE260000}"/>
    <cellStyle name="SAPBEXexcBad7 3" xfId="9711" xr:uid="{00000000-0005-0000-0000-0000CF260000}"/>
    <cellStyle name="SAPBEXexcBad7 3 2" xfId="9712" xr:uid="{00000000-0005-0000-0000-0000D0260000}"/>
    <cellStyle name="SAPBEXexcBad7 3 2 2" xfId="9713" xr:uid="{00000000-0005-0000-0000-0000D1260000}"/>
    <cellStyle name="SAPBEXexcBad7 3 2 3" xfId="9714" xr:uid="{00000000-0005-0000-0000-0000D2260000}"/>
    <cellStyle name="SAPBEXexcBad7 3 2 4" xfId="9715" xr:uid="{00000000-0005-0000-0000-0000D3260000}"/>
    <cellStyle name="SAPBEXexcBad7 3 2 5" xfId="9716" xr:uid="{00000000-0005-0000-0000-0000D4260000}"/>
    <cellStyle name="SAPBEXexcBad7 3 3" xfId="9717" xr:uid="{00000000-0005-0000-0000-0000D5260000}"/>
    <cellStyle name="SAPBEXexcBad7 3 4" xfId="9718" xr:uid="{00000000-0005-0000-0000-0000D6260000}"/>
    <cellStyle name="SAPBEXexcBad7 3 5" xfId="9719" xr:uid="{00000000-0005-0000-0000-0000D7260000}"/>
    <cellStyle name="SAPBEXexcBad7 3 6" xfId="9720" xr:uid="{00000000-0005-0000-0000-0000D8260000}"/>
    <cellStyle name="SAPBEXexcBad7 4" xfId="9721" xr:uid="{00000000-0005-0000-0000-0000D9260000}"/>
    <cellStyle name="SAPBEXexcBad7 4 2" xfId="9722" xr:uid="{00000000-0005-0000-0000-0000DA260000}"/>
    <cellStyle name="SAPBEXexcBad7 4 2 2" xfId="9723" xr:uid="{00000000-0005-0000-0000-0000DB260000}"/>
    <cellStyle name="SAPBEXexcBad7 4 2 3" xfId="9724" xr:uid="{00000000-0005-0000-0000-0000DC260000}"/>
    <cellStyle name="SAPBEXexcBad7 4 2 4" xfId="9725" xr:uid="{00000000-0005-0000-0000-0000DD260000}"/>
    <cellStyle name="SAPBEXexcBad7 4 2 5" xfId="9726" xr:uid="{00000000-0005-0000-0000-0000DE260000}"/>
    <cellStyle name="SAPBEXexcBad7 4 3" xfId="9727" xr:uid="{00000000-0005-0000-0000-0000DF260000}"/>
    <cellStyle name="SAPBEXexcBad7 4 4" xfId="9728" xr:uid="{00000000-0005-0000-0000-0000E0260000}"/>
    <cellStyle name="SAPBEXexcBad7 4 5" xfId="9729" xr:uid="{00000000-0005-0000-0000-0000E1260000}"/>
    <cellStyle name="SAPBEXexcBad7 4 6" xfId="9730" xr:uid="{00000000-0005-0000-0000-0000E2260000}"/>
    <cellStyle name="SAPBEXexcBad7 5" xfId="9731" xr:uid="{00000000-0005-0000-0000-0000E3260000}"/>
    <cellStyle name="SAPBEXexcBad7 5 2" xfId="9732" xr:uid="{00000000-0005-0000-0000-0000E4260000}"/>
    <cellStyle name="SAPBEXexcBad7 5 2 2" xfId="9733" xr:uid="{00000000-0005-0000-0000-0000E5260000}"/>
    <cellStyle name="SAPBEXexcBad7 5 2 3" xfId="9734" xr:uid="{00000000-0005-0000-0000-0000E6260000}"/>
    <cellStyle name="SAPBEXexcBad7 5 2 4" xfId="9735" xr:uid="{00000000-0005-0000-0000-0000E7260000}"/>
    <cellStyle name="SAPBEXexcBad7 5 2 5" xfId="9736" xr:uid="{00000000-0005-0000-0000-0000E8260000}"/>
    <cellStyle name="SAPBEXexcBad7 5 3" xfId="9737" xr:uid="{00000000-0005-0000-0000-0000E9260000}"/>
    <cellStyle name="SAPBEXexcBad7 5 4" xfId="9738" xr:uid="{00000000-0005-0000-0000-0000EA260000}"/>
    <cellStyle name="SAPBEXexcBad7 5 5" xfId="9739" xr:uid="{00000000-0005-0000-0000-0000EB260000}"/>
    <cellStyle name="SAPBEXexcBad7 5 6" xfId="9740" xr:uid="{00000000-0005-0000-0000-0000EC260000}"/>
    <cellStyle name="SAPBEXexcBad7 6" xfId="9741" xr:uid="{00000000-0005-0000-0000-0000ED260000}"/>
    <cellStyle name="SAPBEXexcBad7 6 2" xfId="9742" xr:uid="{00000000-0005-0000-0000-0000EE260000}"/>
    <cellStyle name="SAPBEXexcBad7 6 2 2" xfId="9743" xr:uid="{00000000-0005-0000-0000-0000EF260000}"/>
    <cellStyle name="SAPBEXexcBad7 6 2 3" xfId="9744" xr:uid="{00000000-0005-0000-0000-0000F0260000}"/>
    <cellStyle name="SAPBEXexcBad7 6 2 4" xfId="9745" xr:uid="{00000000-0005-0000-0000-0000F1260000}"/>
    <cellStyle name="SAPBEXexcBad7 6 2 5" xfId="9746" xr:uid="{00000000-0005-0000-0000-0000F2260000}"/>
    <cellStyle name="SAPBEXexcBad7 6 3" xfId="9747" xr:uid="{00000000-0005-0000-0000-0000F3260000}"/>
    <cellStyle name="SAPBEXexcBad7 6 4" xfId="9748" xr:uid="{00000000-0005-0000-0000-0000F4260000}"/>
    <cellStyle name="SAPBEXexcBad7 6 5" xfId="9749" xr:uid="{00000000-0005-0000-0000-0000F5260000}"/>
    <cellStyle name="SAPBEXexcBad7 6 6" xfId="9750" xr:uid="{00000000-0005-0000-0000-0000F6260000}"/>
    <cellStyle name="SAPBEXexcBad7 7" xfId="9751" xr:uid="{00000000-0005-0000-0000-0000F7260000}"/>
    <cellStyle name="SAPBEXexcBad7 7 2" xfId="9752" xr:uid="{00000000-0005-0000-0000-0000F8260000}"/>
    <cellStyle name="SAPBEXexcBad7 7 2 2" xfId="9753" xr:uid="{00000000-0005-0000-0000-0000F9260000}"/>
    <cellStyle name="SAPBEXexcBad7 7 2 3" xfId="9754" xr:uid="{00000000-0005-0000-0000-0000FA260000}"/>
    <cellStyle name="SAPBEXexcBad7 7 2 4" xfId="9755" xr:uid="{00000000-0005-0000-0000-0000FB260000}"/>
    <cellStyle name="SAPBEXexcBad7 7 2 5" xfId="9756" xr:uid="{00000000-0005-0000-0000-0000FC260000}"/>
    <cellStyle name="SAPBEXexcBad7 7 3" xfId="9757" xr:uid="{00000000-0005-0000-0000-0000FD260000}"/>
    <cellStyle name="SAPBEXexcBad7 7 4" xfId="9758" xr:uid="{00000000-0005-0000-0000-0000FE260000}"/>
    <cellStyle name="SAPBEXexcBad7 7 5" xfId="9759" xr:uid="{00000000-0005-0000-0000-0000FF260000}"/>
    <cellStyle name="SAPBEXexcBad7 7 6" xfId="9760" xr:uid="{00000000-0005-0000-0000-000000270000}"/>
    <cellStyle name="SAPBEXexcBad7 8" xfId="9761" xr:uid="{00000000-0005-0000-0000-000001270000}"/>
    <cellStyle name="SAPBEXexcBad7 8 2" xfId="9762" xr:uid="{00000000-0005-0000-0000-000002270000}"/>
    <cellStyle name="SAPBEXexcBad7 8 2 2" xfId="9763" xr:uid="{00000000-0005-0000-0000-000003270000}"/>
    <cellStyle name="SAPBEXexcBad7 8 2 3" xfId="9764" xr:uid="{00000000-0005-0000-0000-000004270000}"/>
    <cellStyle name="SAPBEXexcBad7 8 2 4" xfId="9765" xr:uid="{00000000-0005-0000-0000-000005270000}"/>
    <cellStyle name="SAPBEXexcBad7 8 2 5" xfId="9766" xr:uid="{00000000-0005-0000-0000-000006270000}"/>
    <cellStyle name="SAPBEXexcBad7 8 3" xfId="9767" xr:uid="{00000000-0005-0000-0000-000007270000}"/>
    <cellStyle name="SAPBEXexcBad7 8 4" xfId="9768" xr:uid="{00000000-0005-0000-0000-000008270000}"/>
    <cellStyle name="SAPBEXexcBad7 8 5" xfId="9769" xr:uid="{00000000-0005-0000-0000-000009270000}"/>
    <cellStyle name="SAPBEXexcBad7 8 6" xfId="9770" xr:uid="{00000000-0005-0000-0000-00000A270000}"/>
    <cellStyle name="SAPBEXexcBad7 9" xfId="9771" xr:uid="{00000000-0005-0000-0000-00000B270000}"/>
    <cellStyle name="SAPBEXexcBad7 9 2" xfId="9772" xr:uid="{00000000-0005-0000-0000-00000C270000}"/>
    <cellStyle name="SAPBEXexcBad7 9 2 2" xfId="9773" xr:uid="{00000000-0005-0000-0000-00000D270000}"/>
    <cellStyle name="SAPBEXexcBad7 9 2 3" xfId="9774" xr:uid="{00000000-0005-0000-0000-00000E270000}"/>
    <cellStyle name="SAPBEXexcBad7 9 2 4" xfId="9775" xr:uid="{00000000-0005-0000-0000-00000F270000}"/>
    <cellStyle name="SAPBEXexcBad7 9 2 5" xfId="9776" xr:uid="{00000000-0005-0000-0000-000010270000}"/>
    <cellStyle name="SAPBEXexcBad7 9 3" xfId="9777" xr:uid="{00000000-0005-0000-0000-000011270000}"/>
    <cellStyle name="SAPBEXexcBad7 9 4" xfId="9778" xr:uid="{00000000-0005-0000-0000-000012270000}"/>
    <cellStyle name="SAPBEXexcBad7 9 5" xfId="9779" xr:uid="{00000000-0005-0000-0000-000013270000}"/>
    <cellStyle name="SAPBEXexcBad7 9 6" xfId="9780" xr:uid="{00000000-0005-0000-0000-000014270000}"/>
    <cellStyle name="SAPBEXexcBad7_KTR An-Abflug" xfId="14879" xr:uid="{00000000-0005-0000-0000-000015270000}"/>
    <cellStyle name="SAPBEXexcBad8" xfId="9781" xr:uid="{00000000-0005-0000-0000-000016270000}"/>
    <cellStyle name="SAPBEXexcBad8 10" xfId="9782" xr:uid="{00000000-0005-0000-0000-000017270000}"/>
    <cellStyle name="SAPBEXexcBad8 10 2" xfId="9783" xr:uid="{00000000-0005-0000-0000-000018270000}"/>
    <cellStyle name="SAPBEXexcBad8 10 2 2" xfId="9784" xr:uid="{00000000-0005-0000-0000-000019270000}"/>
    <cellStyle name="SAPBEXexcBad8 10 2 3" xfId="9785" xr:uid="{00000000-0005-0000-0000-00001A270000}"/>
    <cellStyle name="SAPBEXexcBad8 10 2 4" xfId="9786" xr:uid="{00000000-0005-0000-0000-00001B270000}"/>
    <cellStyle name="SAPBEXexcBad8 10 2 5" xfId="9787" xr:uid="{00000000-0005-0000-0000-00001C270000}"/>
    <cellStyle name="SAPBEXexcBad8 10 3" xfId="9788" xr:uid="{00000000-0005-0000-0000-00001D270000}"/>
    <cellStyle name="SAPBEXexcBad8 10 4" xfId="9789" xr:uid="{00000000-0005-0000-0000-00001E270000}"/>
    <cellStyle name="SAPBEXexcBad8 10 5" xfId="9790" xr:uid="{00000000-0005-0000-0000-00001F270000}"/>
    <cellStyle name="SAPBEXexcBad8 10 6" xfId="9791" xr:uid="{00000000-0005-0000-0000-000020270000}"/>
    <cellStyle name="SAPBEXexcBad8 11" xfId="9792" xr:uid="{00000000-0005-0000-0000-000021270000}"/>
    <cellStyle name="SAPBEXexcBad8 11 2" xfId="9793" xr:uid="{00000000-0005-0000-0000-000022270000}"/>
    <cellStyle name="SAPBEXexcBad8 11 2 2" xfId="9794" xr:uid="{00000000-0005-0000-0000-000023270000}"/>
    <cellStyle name="SAPBEXexcBad8 11 2 3" xfId="9795" xr:uid="{00000000-0005-0000-0000-000024270000}"/>
    <cellStyle name="SAPBEXexcBad8 11 2 4" xfId="9796" xr:uid="{00000000-0005-0000-0000-000025270000}"/>
    <cellStyle name="SAPBEXexcBad8 11 2 5" xfId="9797" xr:uid="{00000000-0005-0000-0000-000026270000}"/>
    <cellStyle name="SAPBEXexcBad8 11 3" xfId="9798" xr:uid="{00000000-0005-0000-0000-000027270000}"/>
    <cellStyle name="SAPBEXexcBad8 11 4" xfId="9799" xr:uid="{00000000-0005-0000-0000-000028270000}"/>
    <cellStyle name="SAPBEXexcBad8 11 5" xfId="9800" xr:uid="{00000000-0005-0000-0000-000029270000}"/>
    <cellStyle name="SAPBEXexcBad8 11 6" xfId="9801" xr:uid="{00000000-0005-0000-0000-00002A270000}"/>
    <cellStyle name="SAPBEXexcBad8 12" xfId="9802" xr:uid="{00000000-0005-0000-0000-00002B270000}"/>
    <cellStyle name="SAPBEXexcBad8 12 2" xfId="9803" xr:uid="{00000000-0005-0000-0000-00002C270000}"/>
    <cellStyle name="SAPBEXexcBad8 12 2 2" xfId="9804" xr:uid="{00000000-0005-0000-0000-00002D270000}"/>
    <cellStyle name="SAPBEXexcBad8 12 2 3" xfId="9805" xr:uid="{00000000-0005-0000-0000-00002E270000}"/>
    <cellStyle name="SAPBEXexcBad8 12 2 4" xfId="9806" xr:uid="{00000000-0005-0000-0000-00002F270000}"/>
    <cellStyle name="SAPBEXexcBad8 12 2 5" xfId="9807" xr:uid="{00000000-0005-0000-0000-000030270000}"/>
    <cellStyle name="SAPBEXexcBad8 12 3" xfId="9808" xr:uid="{00000000-0005-0000-0000-000031270000}"/>
    <cellStyle name="SAPBEXexcBad8 12 4" xfId="9809" xr:uid="{00000000-0005-0000-0000-000032270000}"/>
    <cellStyle name="SAPBEXexcBad8 12 5" xfId="9810" xr:uid="{00000000-0005-0000-0000-000033270000}"/>
    <cellStyle name="SAPBEXexcBad8 12 6" xfId="9811" xr:uid="{00000000-0005-0000-0000-000034270000}"/>
    <cellStyle name="SAPBEXexcBad8 13" xfId="9812" xr:uid="{00000000-0005-0000-0000-000035270000}"/>
    <cellStyle name="SAPBEXexcBad8 13 2" xfId="9813" xr:uid="{00000000-0005-0000-0000-000036270000}"/>
    <cellStyle name="SAPBEXexcBad8 13 2 2" xfId="9814" xr:uid="{00000000-0005-0000-0000-000037270000}"/>
    <cellStyle name="SAPBEXexcBad8 13 2 3" xfId="9815" xr:uid="{00000000-0005-0000-0000-000038270000}"/>
    <cellStyle name="SAPBEXexcBad8 13 2 4" xfId="9816" xr:uid="{00000000-0005-0000-0000-000039270000}"/>
    <cellStyle name="SAPBEXexcBad8 13 2 5" xfId="9817" xr:uid="{00000000-0005-0000-0000-00003A270000}"/>
    <cellStyle name="SAPBEXexcBad8 13 3" xfId="9818" xr:uid="{00000000-0005-0000-0000-00003B270000}"/>
    <cellStyle name="SAPBEXexcBad8 13 4" xfId="9819" xr:uid="{00000000-0005-0000-0000-00003C270000}"/>
    <cellStyle name="SAPBEXexcBad8 13 5" xfId="9820" xr:uid="{00000000-0005-0000-0000-00003D270000}"/>
    <cellStyle name="SAPBEXexcBad8 13 6" xfId="9821" xr:uid="{00000000-0005-0000-0000-00003E270000}"/>
    <cellStyle name="SAPBEXexcBad8 14" xfId="9822" xr:uid="{00000000-0005-0000-0000-00003F270000}"/>
    <cellStyle name="SAPBEXexcBad8 14 2" xfId="9823" xr:uid="{00000000-0005-0000-0000-000040270000}"/>
    <cellStyle name="SAPBEXexcBad8 14 2 2" xfId="9824" xr:uid="{00000000-0005-0000-0000-000041270000}"/>
    <cellStyle name="SAPBEXexcBad8 14 2 3" xfId="9825" xr:uid="{00000000-0005-0000-0000-000042270000}"/>
    <cellStyle name="SAPBEXexcBad8 14 2 4" xfId="9826" xr:uid="{00000000-0005-0000-0000-000043270000}"/>
    <cellStyle name="SAPBEXexcBad8 14 2 5" xfId="9827" xr:uid="{00000000-0005-0000-0000-000044270000}"/>
    <cellStyle name="SAPBEXexcBad8 14 3" xfId="9828" xr:uid="{00000000-0005-0000-0000-000045270000}"/>
    <cellStyle name="SAPBEXexcBad8 14 4" xfId="9829" xr:uid="{00000000-0005-0000-0000-000046270000}"/>
    <cellStyle name="SAPBEXexcBad8 14 5" xfId="9830" xr:uid="{00000000-0005-0000-0000-000047270000}"/>
    <cellStyle name="SAPBEXexcBad8 14 6" xfId="9831" xr:uid="{00000000-0005-0000-0000-000048270000}"/>
    <cellStyle name="SAPBEXexcBad8 15" xfId="9832" xr:uid="{00000000-0005-0000-0000-000049270000}"/>
    <cellStyle name="SAPBEXexcBad8 15 2" xfId="9833" xr:uid="{00000000-0005-0000-0000-00004A270000}"/>
    <cellStyle name="SAPBEXexcBad8 15 2 2" xfId="9834" xr:uid="{00000000-0005-0000-0000-00004B270000}"/>
    <cellStyle name="SAPBEXexcBad8 15 2 3" xfId="9835" xr:uid="{00000000-0005-0000-0000-00004C270000}"/>
    <cellStyle name="SAPBEXexcBad8 15 2 4" xfId="9836" xr:uid="{00000000-0005-0000-0000-00004D270000}"/>
    <cellStyle name="SAPBEXexcBad8 15 2 5" xfId="9837" xr:uid="{00000000-0005-0000-0000-00004E270000}"/>
    <cellStyle name="SAPBEXexcBad8 15 3" xfId="9838" xr:uid="{00000000-0005-0000-0000-00004F270000}"/>
    <cellStyle name="SAPBEXexcBad8 15 4" xfId="9839" xr:uid="{00000000-0005-0000-0000-000050270000}"/>
    <cellStyle name="SAPBEXexcBad8 15 5" xfId="9840" xr:uid="{00000000-0005-0000-0000-000051270000}"/>
    <cellStyle name="SAPBEXexcBad8 15 6" xfId="9841" xr:uid="{00000000-0005-0000-0000-000052270000}"/>
    <cellStyle name="SAPBEXexcBad8 16" xfId="9842" xr:uid="{00000000-0005-0000-0000-000053270000}"/>
    <cellStyle name="SAPBEXexcBad8 17" xfId="9843" xr:uid="{00000000-0005-0000-0000-000054270000}"/>
    <cellStyle name="SAPBEXexcBad8 18" xfId="9844" xr:uid="{00000000-0005-0000-0000-000055270000}"/>
    <cellStyle name="SAPBEXexcBad8 19" xfId="9845" xr:uid="{00000000-0005-0000-0000-000056270000}"/>
    <cellStyle name="SAPBEXexcBad8 2" xfId="9846" xr:uid="{00000000-0005-0000-0000-000057270000}"/>
    <cellStyle name="SAPBEXexcBad8 2 2" xfId="9847" xr:uid="{00000000-0005-0000-0000-000058270000}"/>
    <cellStyle name="SAPBEXexcBad8 2 2 2" xfId="9848" xr:uid="{00000000-0005-0000-0000-000059270000}"/>
    <cellStyle name="SAPBEXexcBad8 2 2 3" xfId="9849" xr:uid="{00000000-0005-0000-0000-00005A270000}"/>
    <cellStyle name="SAPBEXexcBad8 2 2 4" xfId="9850" xr:uid="{00000000-0005-0000-0000-00005B270000}"/>
    <cellStyle name="SAPBEXexcBad8 2 2 5" xfId="9851" xr:uid="{00000000-0005-0000-0000-00005C270000}"/>
    <cellStyle name="SAPBEXexcBad8 2 3" xfId="9852" xr:uid="{00000000-0005-0000-0000-00005D270000}"/>
    <cellStyle name="SAPBEXexcBad8 2 4" xfId="9853" xr:uid="{00000000-0005-0000-0000-00005E270000}"/>
    <cellStyle name="SAPBEXexcBad8 2 5" xfId="9854" xr:uid="{00000000-0005-0000-0000-00005F270000}"/>
    <cellStyle name="SAPBEXexcBad8 2 6" xfId="9855" xr:uid="{00000000-0005-0000-0000-000060270000}"/>
    <cellStyle name="SAPBEXexcBad8 3" xfId="9856" xr:uid="{00000000-0005-0000-0000-000061270000}"/>
    <cellStyle name="SAPBEXexcBad8 3 2" xfId="9857" xr:uid="{00000000-0005-0000-0000-000062270000}"/>
    <cellStyle name="SAPBEXexcBad8 3 2 2" xfId="9858" xr:uid="{00000000-0005-0000-0000-000063270000}"/>
    <cellStyle name="SAPBEXexcBad8 3 2 3" xfId="9859" xr:uid="{00000000-0005-0000-0000-000064270000}"/>
    <cellStyle name="SAPBEXexcBad8 3 2 4" xfId="9860" xr:uid="{00000000-0005-0000-0000-000065270000}"/>
    <cellStyle name="SAPBEXexcBad8 3 2 5" xfId="9861" xr:uid="{00000000-0005-0000-0000-000066270000}"/>
    <cellStyle name="SAPBEXexcBad8 3 3" xfId="9862" xr:uid="{00000000-0005-0000-0000-000067270000}"/>
    <cellStyle name="SAPBEXexcBad8 3 4" xfId="9863" xr:uid="{00000000-0005-0000-0000-000068270000}"/>
    <cellStyle name="SAPBEXexcBad8 3 5" xfId="9864" xr:uid="{00000000-0005-0000-0000-000069270000}"/>
    <cellStyle name="SAPBEXexcBad8 3 6" xfId="9865" xr:uid="{00000000-0005-0000-0000-00006A270000}"/>
    <cellStyle name="SAPBEXexcBad8 4" xfId="9866" xr:uid="{00000000-0005-0000-0000-00006B270000}"/>
    <cellStyle name="SAPBEXexcBad8 4 2" xfId="9867" xr:uid="{00000000-0005-0000-0000-00006C270000}"/>
    <cellStyle name="SAPBEXexcBad8 4 2 2" xfId="9868" xr:uid="{00000000-0005-0000-0000-00006D270000}"/>
    <cellStyle name="SAPBEXexcBad8 4 2 3" xfId="9869" xr:uid="{00000000-0005-0000-0000-00006E270000}"/>
    <cellStyle name="SAPBEXexcBad8 4 2 4" xfId="9870" xr:uid="{00000000-0005-0000-0000-00006F270000}"/>
    <cellStyle name="SAPBEXexcBad8 4 2 5" xfId="9871" xr:uid="{00000000-0005-0000-0000-000070270000}"/>
    <cellStyle name="SAPBEXexcBad8 4 3" xfId="9872" xr:uid="{00000000-0005-0000-0000-000071270000}"/>
    <cellStyle name="SAPBEXexcBad8 4 4" xfId="9873" xr:uid="{00000000-0005-0000-0000-000072270000}"/>
    <cellStyle name="SAPBEXexcBad8 4 5" xfId="9874" xr:uid="{00000000-0005-0000-0000-000073270000}"/>
    <cellStyle name="SAPBEXexcBad8 4 6" xfId="9875" xr:uid="{00000000-0005-0000-0000-000074270000}"/>
    <cellStyle name="SAPBEXexcBad8 5" xfId="9876" xr:uid="{00000000-0005-0000-0000-000075270000}"/>
    <cellStyle name="SAPBEXexcBad8 5 2" xfId="9877" xr:uid="{00000000-0005-0000-0000-000076270000}"/>
    <cellStyle name="SAPBEXexcBad8 5 2 2" xfId="9878" xr:uid="{00000000-0005-0000-0000-000077270000}"/>
    <cellStyle name="SAPBEXexcBad8 5 2 3" xfId="9879" xr:uid="{00000000-0005-0000-0000-000078270000}"/>
    <cellStyle name="SAPBEXexcBad8 5 2 4" xfId="9880" xr:uid="{00000000-0005-0000-0000-000079270000}"/>
    <cellStyle name="SAPBEXexcBad8 5 2 5" xfId="9881" xr:uid="{00000000-0005-0000-0000-00007A270000}"/>
    <cellStyle name="SAPBEXexcBad8 5 3" xfId="9882" xr:uid="{00000000-0005-0000-0000-00007B270000}"/>
    <cellStyle name="SAPBEXexcBad8 5 4" xfId="9883" xr:uid="{00000000-0005-0000-0000-00007C270000}"/>
    <cellStyle name="SAPBEXexcBad8 5 5" xfId="9884" xr:uid="{00000000-0005-0000-0000-00007D270000}"/>
    <cellStyle name="SAPBEXexcBad8 5 6" xfId="9885" xr:uid="{00000000-0005-0000-0000-00007E270000}"/>
    <cellStyle name="SAPBEXexcBad8 6" xfId="9886" xr:uid="{00000000-0005-0000-0000-00007F270000}"/>
    <cellStyle name="SAPBEXexcBad8 6 2" xfId="9887" xr:uid="{00000000-0005-0000-0000-000080270000}"/>
    <cellStyle name="SAPBEXexcBad8 6 2 2" xfId="9888" xr:uid="{00000000-0005-0000-0000-000081270000}"/>
    <cellStyle name="SAPBEXexcBad8 6 2 3" xfId="9889" xr:uid="{00000000-0005-0000-0000-000082270000}"/>
    <cellStyle name="SAPBEXexcBad8 6 2 4" xfId="9890" xr:uid="{00000000-0005-0000-0000-000083270000}"/>
    <cellStyle name="SAPBEXexcBad8 6 2 5" xfId="9891" xr:uid="{00000000-0005-0000-0000-000084270000}"/>
    <cellStyle name="SAPBEXexcBad8 6 3" xfId="9892" xr:uid="{00000000-0005-0000-0000-000085270000}"/>
    <cellStyle name="SAPBEXexcBad8 6 4" xfId="9893" xr:uid="{00000000-0005-0000-0000-000086270000}"/>
    <cellStyle name="SAPBEXexcBad8 6 5" xfId="9894" xr:uid="{00000000-0005-0000-0000-000087270000}"/>
    <cellStyle name="SAPBEXexcBad8 6 6" xfId="9895" xr:uid="{00000000-0005-0000-0000-000088270000}"/>
    <cellStyle name="SAPBEXexcBad8 7" xfId="9896" xr:uid="{00000000-0005-0000-0000-000089270000}"/>
    <cellStyle name="SAPBEXexcBad8 7 2" xfId="9897" xr:uid="{00000000-0005-0000-0000-00008A270000}"/>
    <cellStyle name="SAPBEXexcBad8 7 2 2" xfId="9898" xr:uid="{00000000-0005-0000-0000-00008B270000}"/>
    <cellStyle name="SAPBEXexcBad8 7 2 3" xfId="9899" xr:uid="{00000000-0005-0000-0000-00008C270000}"/>
    <cellStyle name="SAPBEXexcBad8 7 2 4" xfId="9900" xr:uid="{00000000-0005-0000-0000-00008D270000}"/>
    <cellStyle name="SAPBEXexcBad8 7 2 5" xfId="9901" xr:uid="{00000000-0005-0000-0000-00008E270000}"/>
    <cellStyle name="SAPBEXexcBad8 7 3" xfId="9902" xr:uid="{00000000-0005-0000-0000-00008F270000}"/>
    <cellStyle name="SAPBEXexcBad8 7 4" xfId="9903" xr:uid="{00000000-0005-0000-0000-000090270000}"/>
    <cellStyle name="SAPBEXexcBad8 7 5" xfId="9904" xr:uid="{00000000-0005-0000-0000-000091270000}"/>
    <cellStyle name="SAPBEXexcBad8 7 6" xfId="9905" xr:uid="{00000000-0005-0000-0000-000092270000}"/>
    <cellStyle name="SAPBEXexcBad8 8" xfId="9906" xr:uid="{00000000-0005-0000-0000-000093270000}"/>
    <cellStyle name="SAPBEXexcBad8 8 2" xfId="9907" xr:uid="{00000000-0005-0000-0000-000094270000}"/>
    <cellStyle name="SAPBEXexcBad8 8 2 2" xfId="9908" xr:uid="{00000000-0005-0000-0000-000095270000}"/>
    <cellStyle name="SAPBEXexcBad8 8 2 3" xfId="9909" xr:uid="{00000000-0005-0000-0000-000096270000}"/>
    <cellStyle name="SAPBEXexcBad8 8 2 4" xfId="9910" xr:uid="{00000000-0005-0000-0000-000097270000}"/>
    <cellStyle name="SAPBEXexcBad8 8 2 5" xfId="9911" xr:uid="{00000000-0005-0000-0000-000098270000}"/>
    <cellStyle name="SAPBEXexcBad8 8 3" xfId="9912" xr:uid="{00000000-0005-0000-0000-000099270000}"/>
    <cellStyle name="SAPBEXexcBad8 8 4" xfId="9913" xr:uid="{00000000-0005-0000-0000-00009A270000}"/>
    <cellStyle name="SAPBEXexcBad8 8 5" xfId="9914" xr:uid="{00000000-0005-0000-0000-00009B270000}"/>
    <cellStyle name="SAPBEXexcBad8 8 6" xfId="9915" xr:uid="{00000000-0005-0000-0000-00009C270000}"/>
    <cellStyle name="SAPBEXexcBad8 9" xfId="9916" xr:uid="{00000000-0005-0000-0000-00009D270000}"/>
    <cellStyle name="SAPBEXexcBad8 9 2" xfId="9917" xr:uid="{00000000-0005-0000-0000-00009E270000}"/>
    <cellStyle name="SAPBEXexcBad8 9 2 2" xfId="9918" xr:uid="{00000000-0005-0000-0000-00009F270000}"/>
    <cellStyle name="SAPBEXexcBad8 9 2 3" xfId="9919" xr:uid="{00000000-0005-0000-0000-0000A0270000}"/>
    <cellStyle name="SAPBEXexcBad8 9 2 4" xfId="9920" xr:uid="{00000000-0005-0000-0000-0000A1270000}"/>
    <cellStyle name="SAPBEXexcBad8 9 2 5" xfId="9921" xr:uid="{00000000-0005-0000-0000-0000A2270000}"/>
    <cellStyle name="SAPBEXexcBad8 9 3" xfId="9922" xr:uid="{00000000-0005-0000-0000-0000A3270000}"/>
    <cellStyle name="SAPBEXexcBad8 9 4" xfId="9923" xr:uid="{00000000-0005-0000-0000-0000A4270000}"/>
    <cellStyle name="SAPBEXexcBad8 9 5" xfId="9924" xr:uid="{00000000-0005-0000-0000-0000A5270000}"/>
    <cellStyle name="SAPBEXexcBad8 9 6" xfId="9925" xr:uid="{00000000-0005-0000-0000-0000A6270000}"/>
    <cellStyle name="SAPBEXexcBad8_KTR An-Abflug" xfId="14833" xr:uid="{00000000-0005-0000-0000-0000A7270000}"/>
    <cellStyle name="SAPBEXexcBad9" xfId="9926" xr:uid="{00000000-0005-0000-0000-0000A8270000}"/>
    <cellStyle name="SAPBEXexcBad9 10" xfId="9927" xr:uid="{00000000-0005-0000-0000-0000A9270000}"/>
    <cellStyle name="SAPBEXexcBad9 10 2" xfId="9928" xr:uid="{00000000-0005-0000-0000-0000AA270000}"/>
    <cellStyle name="SAPBEXexcBad9 10 2 2" xfId="9929" xr:uid="{00000000-0005-0000-0000-0000AB270000}"/>
    <cellStyle name="SAPBEXexcBad9 10 2 3" xfId="9930" xr:uid="{00000000-0005-0000-0000-0000AC270000}"/>
    <cellStyle name="SAPBEXexcBad9 10 2 4" xfId="9931" xr:uid="{00000000-0005-0000-0000-0000AD270000}"/>
    <cellStyle name="SAPBEXexcBad9 10 2 5" xfId="9932" xr:uid="{00000000-0005-0000-0000-0000AE270000}"/>
    <cellStyle name="SAPBEXexcBad9 10 3" xfId="9933" xr:uid="{00000000-0005-0000-0000-0000AF270000}"/>
    <cellStyle name="SAPBEXexcBad9 10 4" xfId="9934" xr:uid="{00000000-0005-0000-0000-0000B0270000}"/>
    <cellStyle name="SAPBEXexcBad9 10 5" xfId="9935" xr:uid="{00000000-0005-0000-0000-0000B1270000}"/>
    <cellStyle name="SAPBEXexcBad9 10 6" xfId="9936" xr:uid="{00000000-0005-0000-0000-0000B2270000}"/>
    <cellStyle name="SAPBEXexcBad9 11" xfId="9937" xr:uid="{00000000-0005-0000-0000-0000B3270000}"/>
    <cellStyle name="SAPBEXexcBad9 11 2" xfId="9938" xr:uid="{00000000-0005-0000-0000-0000B4270000}"/>
    <cellStyle name="SAPBEXexcBad9 11 2 2" xfId="9939" xr:uid="{00000000-0005-0000-0000-0000B5270000}"/>
    <cellStyle name="SAPBEXexcBad9 11 2 3" xfId="9940" xr:uid="{00000000-0005-0000-0000-0000B6270000}"/>
    <cellStyle name="SAPBEXexcBad9 11 2 4" xfId="9941" xr:uid="{00000000-0005-0000-0000-0000B7270000}"/>
    <cellStyle name="SAPBEXexcBad9 11 2 5" xfId="9942" xr:uid="{00000000-0005-0000-0000-0000B8270000}"/>
    <cellStyle name="SAPBEXexcBad9 11 3" xfId="9943" xr:uid="{00000000-0005-0000-0000-0000B9270000}"/>
    <cellStyle name="SAPBEXexcBad9 11 4" xfId="9944" xr:uid="{00000000-0005-0000-0000-0000BA270000}"/>
    <cellStyle name="SAPBEXexcBad9 11 5" xfId="9945" xr:uid="{00000000-0005-0000-0000-0000BB270000}"/>
    <cellStyle name="SAPBEXexcBad9 11 6" xfId="9946" xr:uid="{00000000-0005-0000-0000-0000BC270000}"/>
    <cellStyle name="SAPBEXexcBad9 12" xfId="9947" xr:uid="{00000000-0005-0000-0000-0000BD270000}"/>
    <cellStyle name="SAPBEXexcBad9 12 2" xfId="9948" xr:uid="{00000000-0005-0000-0000-0000BE270000}"/>
    <cellStyle name="SAPBEXexcBad9 12 2 2" xfId="9949" xr:uid="{00000000-0005-0000-0000-0000BF270000}"/>
    <cellStyle name="SAPBEXexcBad9 12 2 3" xfId="9950" xr:uid="{00000000-0005-0000-0000-0000C0270000}"/>
    <cellStyle name="SAPBEXexcBad9 12 2 4" xfId="9951" xr:uid="{00000000-0005-0000-0000-0000C1270000}"/>
    <cellStyle name="SAPBEXexcBad9 12 2 5" xfId="9952" xr:uid="{00000000-0005-0000-0000-0000C2270000}"/>
    <cellStyle name="SAPBEXexcBad9 12 3" xfId="9953" xr:uid="{00000000-0005-0000-0000-0000C3270000}"/>
    <cellStyle name="SAPBEXexcBad9 12 4" xfId="9954" xr:uid="{00000000-0005-0000-0000-0000C4270000}"/>
    <cellStyle name="SAPBEXexcBad9 12 5" xfId="9955" xr:uid="{00000000-0005-0000-0000-0000C5270000}"/>
    <cellStyle name="SAPBEXexcBad9 12 6" xfId="9956" xr:uid="{00000000-0005-0000-0000-0000C6270000}"/>
    <cellStyle name="SAPBEXexcBad9 13" xfId="9957" xr:uid="{00000000-0005-0000-0000-0000C7270000}"/>
    <cellStyle name="SAPBEXexcBad9 13 2" xfId="9958" xr:uid="{00000000-0005-0000-0000-0000C8270000}"/>
    <cellStyle name="SAPBEXexcBad9 13 2 2" xfId="9959" xr:uid="{00000000-0005-0000-0000-0000C9270000}"/>
    <cellStyle name="SAPBEXexcBad9 13 2 3" xfId="9960" xr:uid="{00000000-0005-0000-0000-0000CA270000}"/>
    <cellStyle name="SAPBEXexcBad9 13 2 4" xfId="9961" xr:uid="{00000000-0005-0000-0000-0000CB270000}"/>
    <cellStyle name="SAPBEXexcBad9 13 2 5" xfId="9962" xr:uid="{00000000-0005-0000-0000-0000CC270000}"/>
    <cellStyle name="SAPBEXexcBad9 13 3" xfId="9963" xr:uid="{00000000-0005-0000-0000-0000CD270000}"/>
    <cellStyle name="SAPBEXexcBad9 13 4" xfId="9964" xr:uid="{00000000-0005-0000-0000-0000CE270000}"/>
    <cellStyle name="SAPBEXexcBad9 13 5" xfId="9965" xr:uid="{00000000-0005-0000-0000-0000CF270000}"/>
    <cellStyle name="SAPBEXexcBad9 13 6" xfId="9966" xr:uid="{00000000-0005-0000-0000-0000D0270000}"/>
    <cellStyle name="SAPBEXexcBad9 14" xfId="9967" xr:uid="{00000000-0005-0000-0000-0000D1270000}"/>
    <cellStyle name="SAPBEXexcBad9 14 2" xfId="9968" xr:uid="{00000000-0005-0000-0000-0000D2270000}"/>
    <cellStyle name="SAPBEXexcBad9 14 2 2" xfId="9969" xr:uid="{00000000-0005-0000-0000-0000D3270000}"/>
    <cellStyle name="SAPBEXexcBad9 14 2 3" xfId="9970" xr:uid="{00000000-0005-0000-0000-0000D4270000}"/>
    <cellStyle name="SAPBEXexcBad9 14 2 4" xfId="9971" xr:uid="{00000000-0005-0000-0000-0000D5270000}"/>
    <cellStyle name="SAPBEXexcBad9 14 2 5" xfId="9972" xr:uid="{00000000-0005-0000-0000-0000D6270000}"/>
    <cellStyle name="SAPBEXexcBad9 14 3" xfId="9973" xr:uid="{00000000-0005-0000-0000-0000D7270000}"/>
    <cellStyle name="SAPBEXexcBad9 14 4" xfId="9974" xr:uid="{00000000-0005-0000-0000-0000D8270000}"/>
    <cellStyle name="SAPBEXexcBad9 14 5" xfId="9975" xr:uid="{00000000-0005-0000-0000-0000D9270000}"/>
    <cellStyle name="SAPBEXexcBad9 14 6" xfId="9976" xr:uid="{00000000-0005-0000-0000-0000DA270000}"/>
    <cellStyle name="SAPBEXexcBad9 15" xfId="9977" xr:uid="{00000000-0005-0000-0000-0000DB270000}"/>
    <cellStyle name="SAPBEXexcBad9 15 2" xfId="9978" xr:uid="{00000000-0005-0000-0000-0000DC270000}"/>
    <cellStyle name="SAPBEXexcBad9 15 2 2" xfId="9979" xr:uid="{00000000-0005-0000-0000-0000DD270000}"/>
    <cellStyle name="SAPBEXexcBad9 15 2 3" xfId="9980" xr:uid="{00000000-0005-0000-0000-0000DE270000}"/>
    <cellStyle name="SAPBEXexcBad9 15 2 4" xfId="9981" xr:uid="{00000000-0005-0000-0000-0000DF270000}"/>
    <cellStyle name="SAPBEXexcBad9 15 2 5" xfId="9982" xr:uid="{00000000-0005-0000-0000-0000E0270000}"/>
    <cellStyle name="SAPBEXexcBad9 15 3" xfId="9983" xr:uid="{00000000-0005-0000-0000-0000E1270000}"/>
    <cellStyle name="SAPBEXexcBad9 15 4" xfId="9984" xr:uid="{00000000-0005-0000-0000-0000E2270000}"/>
    <cellStyle name="SAPBEXexcBad9 15 5" xfId="9985" xr:uid="{00000000-0005-0000-0000-0000E3270000}"/>
    <cellStyle name="SAPBEXexcBad9 15 6" xfId="9986" xr:uid="{00000000-0005-0000-0000-0000E4270000}"/>
    <cellStyle name="SAPBEXexcBad9 16" xfId="9987" xr:uid="{00000000-0005-0000-0000-0000E5270000}"/>
    <cellStyle name="SAPBEXexcBad9 17" xfId="9988" xr:uid="{00000000-0005-0000-0000-0000E6270000}"/>
    <cellStyle name="SAPBEXexcBad9 18" xfId="9989" xr:uid="{00000000-0005-0000-0000-0000E7270000}"/>
    <cellStyle name="SAPBEXexcBad9 19" xfId="9990" xr:uid="{00000000-0005-0000-0000-0000E8270000}"/>
    <cellStyle name="SAPBEXexcBad9 2" xfId="9991" xr:uid="{00000000-0005-0000-0000-0000E9270000}"/>
    <cellStyle name="SAPBEXexcBad9 2 2" xfId="9992" xr:uid="{00000000-0005-0000-0000-0000EA270000}"/>
    <cellStyle name="SAPBEXexcBad9 2 2 2" xfId="9993" xr:uid="{00000000-0005-0000-0000-0000EB270000}"/>
    <cellStyle name="SAPBEXexcBad9 2 2 3" xfId="9994" xr:uid="{00000000-0005-0000-0000-0000EC270000}"/>
    <cellStyle name="SAPBEXexcBad9 2 2 4" xfId="9995" xr:uid="{00000000-0005-0000-0000-0000ED270000}"/>
    <cellStyle name="SAPBEXexcBad9 2 2 5" xfId="9996" xr:uid="{00000000-0005-0000-0000-0000EE270000}"/>
    <cellStyle name="SAPBEXexcBad9 2 3" xfId="9997" xr:uid="{00000000-0005-0000-0000-0000EF270000}"/>
    <cellStyle name="SAPBEXexcBad9 2 4" xfId="9998" xr:uid="{00000000-0005-0000-0000-0000F0270000}"/>
    <cellStyle name="SAPBEXexcBad9 2 5" xfId="9999" xr:uid="{00000000-0005-0000-0000-0000F1270000}"/>
    <cellStyle name="SAPBEXexcBad9 2 6" xfId="10000" xr:uid="{00000000-0005-0000-0000-0000F2270000}"/>
    <cellStyle name="SAPBEXexcBad9 3" xfId="10001" xr:uid="{00000000-0005-0000-0000-0000F3270000}"/>
    <cellStyle name="SAPBEXexcBad9 3 2" xfId="10002" xr:uid="{00000000-0005-0000-0000-0000F4270000}"/>
    <cellStyle name="SAPBEXexcBad9 3 2 2" xfId="10003" xr:uid="{00000000-0005-0000-0000-0000F5270000}"/>
    <cellStyle name="SAPBEXexcBad9 3 2 3" xfId="10004" xr:uid="{00000000-0005-0000-0000-0000F6270000}"/>
    <cellStyle name="SAPBEXexcBad9 3 2 4" xfId="10005" xr:uid="{00000000-0005-0000-0000-0000F7270000}"/>
    <cellStyle name="SAPBEXexcBad9 3 2 5" xfId="10006" xr:uid="{00000000-0005-0000-0000-0000F8270000}"/>
    <cellStyle name="SAPBEXexcBad9 3 3" xfId="10007" xr:uid="{00000000-0005-0000-0000-0000F9270000}"/>
    <cellStyle name="SAPBEXexcBad9 3 4" xfId="10008" xr:uid="{00000000-0005-0000-0000-0000FA270000}"/>
    <cellStyle name="SAPBEXexcBad9 3 5" xfId="10009" xr:uid="{00000000-0005-0000-0000-0000FB270000}"/>
    <cellStyle name="SAPBEXexcBad9 3 6" xfId="10010" xr:uid="{00000000-0005-0000-0000-0000FC270000}"/>
    <cellStyle name="SAPBEXexcBad9 4" xfId="10011" xr:uid="{00000000-0005-0000-0000-0000FD270000}"/>
    <cellStyle name="SAPBEXexcBad9 4 2" xfId="10012" xr:uid="{00000000-0005-0000-0000-0000FE270000}"/>
    <cellStyle name="SAPBEXexcBad9 4 2 2" xfId="10013" xr:uid="{00000000-0005-0000-0000-0000FF270000}"/>
    <cellStyle name="SAPBEXexcBad9 4 2 3" xfId="10014" xr:uid="{00000000-0005-0000-0000-000000280000}"/>
    <cellStyle name="SAPBEXexcBad9 4 2 4" xfId="10015" xr:uid="{00000000-0005-0000-0000-000001280000}"/>
    <cellStyle name="SAPBEXexcBad9 4 2 5" xfId="10016" xr:uid="{00000000-0005-0000-0000-000002280000}"/>
    <cellStyle name="SAPBEXexcBad9 4 3" xfId="10017" xr:uid="{00000000-0005-0000-0000-000003280000}"/>
    <cellStyle name="SAPBEXexcBad9 4 4" xfId="10018" xr:uid="{00000000-0005-0000-0000-000004280000}"/>
    <cellStyle name="SAPBEXexcBad9 4 5" xfId="10019" xr:uid="{00000000-0005-0000-0000-000005280000}"/>
    <cellStyle name="SAPBEXexcBad9 4 6" xfId="10020" xr:uid="{00000000-0005-0000-0000-000006280000}"/>
    <cellStyle name="SAPBEXexcBad9 5" xfId="10021" xr:uid="{00000000-0005-0000-0000-000007280000}"/>
    <cellStyle name="SAPBEXexcBad9 5 2" xfId="10022" xr:uid="{00000000-0005-0000-0000-000008280000}"/>
    <cellStyle name="SAPBEXexcBad9 5 2 2" xfId="10023" xr:uid="{00000000-0005-0000-0000-000009280000}"/>
    <cellStyle name="SAPBEXexcBad9 5 2 3" xfId="10024" xr:uid="{00000000-0005-0000-0000-00000A280000}"/>
    <cellStyle name="SAPBEXexcBad9 5 2 4" xfId="10025" xr:uid="{00000000-0005-0000-0000-00000B280000}"/>
    <cellStyle name="SAPBEXexcBad9 5 2 5" xfId="10026" xr:uid="{00000000-0005-0000-0000-00000C280000}"/>
    <cellStyle name="SAPBEXexcBad9 5 3" xfId="10027" xr:uid="{00000000-0005-0000-0000-00000D280000}"/>
    <cellStyle name="SAPBEXexcBad9 5 4" xfId="10028" xr:uid="{00000000-0005-0000-0000-00000E280000}"/>
    <cellStyle name="SAPBEXexcBad9 5 5" xfId="10029" xr:uid="{00000000-0005-0000-0000-00000F280000}"/>
    <cellStyle name="SAPBEXexcBad9 5 6" xfId="10030" xr:uid="{00000000-0005-0000-0000-000010280000}"/>
    <cellStyle name="SAPBEXexcBad9 6" xfId="10031" xr:uid="{00000000-0005-0000-0000-000011280000}"/>
    <cellStyle name="SAPBEXexcBad9 6 2" xfId="10032" xr:uid="{00000000-0005-0000-0000-000012280000}"/>
    <cellStyle name="SAPBEXexcBad9 6 2 2" xfId="10033" xr:uid="{00000000-0005-0000-0000-000013280000}"/>
    <cellStyle name="SAPBEXexcBad9 6 2 3" xfId="10034" xr:uid="{00000000-0005-0000-0000-000014280000}"/>
    <cellStyle name="SAPBEXexcBad9 6 2 4" xfId="10035" xr:uid="{00000000-0005-0000-0000-000015280000}"/>
    <cellStyle name="SAPBEXexcBad9 6 2 5" xfId="10036" xr:uid="{00000000-0005-0000-0000-000016280000}"/>
    <cellStyle name="SAPBEXexcBad9 6 3" xfId="10037" xr:uid="{00000000-0005-0000-0000-000017280000}"/>
    <cellStyle name="SAPBEXexcBad9 6 4" xfId="10038" xr:uid="{00000000-0005-0000-0000-000018280000}"/>
    <cellStyle name="SAPBEXexcBad9 6 5" xfId="10039" xr:uid="{00000000-0005-0000-0000-000019280000}"/>
    <cellStyle name="SAPBEXexcBad9 6 6" xfId="10040" xr:uid="{00000000-0005-0000-0000-00001A280000}"/>
    <cellStyle name="SAPBEXexcBad9 7" xfId="10041" xr:uid="{00000000-0005-0000-0000-00001B280000}"/>
    <cellStyle name="SAPBEXexcBad9 7 2" xfId="10042" xr:uid="{00000000-0005-0000-0000-00001C280000}"/>
    <cellStyle name="SAPBEXexcBad9 7 2 2" xfId="10043" xr:uid="{00000000-0005-0000-0000-00001D280000}"/>
    <cellStyle name="SAPBEXexcBad9 7 2 3" xfId="10044" xr:uid="{00000000-0005-0000-0000-00001E280000}"/>
    <cellStyle name="SAPBEXexcBad9 7 2 4" xfId="10045" xr:uid="{00000000-0005-0000-0000-00001F280000}"/>
    <cellStyle name="SAPBEXexcBad9 7 2 5" xfId="10046" xr:uid="{00000000-0005-0000-0000-000020280000}"/>
    <cellStyle name="SAPBEXexcBad9 7 3" xfId="10047" xr:uid="{00000000-0005-0000-0000-000021280000}"/>
    <cellStyle name="SAPBEXexcBad9 7 4" xfId="10048" xr:uid="{00000000-0005-0000-0000-000022280000}"/>
    <cellStyle name="SAPBEXexcBad9 7 5" xfId="10049" xr:uid="{00000000-0005-0000-0000-000023280000}"/>
    <cellStyle name="SAPBEXexcBad9 7 6" xfId="10050" xr:uid="{00000000-0005-0000-0000-000024280000}"/>
    <cellStyle name="SAPBEXexcBad9 8" xfId="10051" xr:uid="{00000000-0005-0000-0000-000025280000}"/>
    <cellStyle name="SAPBEXexcBad9 8 2" xfId="10052" xr:uid="{00000000-0005-0000-0000-000026280000}"/>
    <cellStyle name="SAPBEXexcBad9 8 2 2" xfId="10053" xr:uid="{00000000-0005-0000-0000-000027280000}"/>
    <cellStyle name="SAPBEXexcBad9 8 2 3" xfId="10054" xr:uid="{00000000-0005-0000-0000-000028280000}"/>
    <cellStyle name="SAPBEXexcBad9 8 2 4" xfId="10055" xr:uid="{00000000-0005-0000-0000-000029280000}"/>
    <cellStyle name="SAPBEXexcBad9 8 2 5" xfId="10056" xr:uid="{00000000-0005-0000-0000-00002A280000}"/>
    <cellStyle name="SAPBEXexcBad9 8 3" xfId="10057" xr:uid="{00000000-0005-0000-0000-00002B280000}"/>
    <cellStyle name="SAPBEXexcBad9 8 4" xfId="10058" xr:uid="{00000000-0005-0000-0000-00002C280000}"/>
    <cellStyle name="SAPBEXexcBad9 8 5" xfId="10059" xr:uid="{00000000-0005-0000-0000-00002D280000}"/>
    <cellStyle name="SAPBEXexcBad9 8 6" xfId="10060" xr:uid="{00000000-0005-0000-0000-00002E280000}"/>
    <cellStyle name="SAPBEXexcBad9 9" xfId="10061" xr:uid="{00000000-0005-0000-0000-00002F280000}"/>
    <cellStyle name="SAPBEXexcBad9 9 2" xfId="10062" xr:uid="{00000000-0005-0000-0000-000030280000}"/>
    <cellStyle name="SAPBEXexcBad9 9 2 2" xfId="10063" xr:uid="{00000000-0005-0000-0000-000031280000}"/>
    <cellStyle name="SAPBEXexcBad9 9 2 3" xfId="10064" xr:uid="{00000000-0005-0000-0000-000032280000}"/>
    <cellStyle name="SAPBEXexcBad9 9 2 4" xfId="10065" xr:uid="{00000000-0005-0000-0000-000033280000}"/>
    <cellStyle name="SAPBEXexcBad9 9 2 5" xfId="10066" xr:uid="{00000000-0005-0000-0000-000034280000}"/>
    <cellStyle name="SAPBEXexcBad9 9 3" xfId="10067" xr:uid="{00000000-0005-0000-0000-000035280000}"/>
    <cellStyle name="SAPBEXexcBad9 9 4" xfId="10068" xr:uid="{00000000-0005-0000-0000-000036280000}"/>
    <cellStyle name="SAPBEXexcBad9 9 5" xfId="10069" xr:uid="{00000000-0005-0000-0000-000037280000}"/>
    <cellStyle name="SAPBEXexcBad9 9 6" xfId="10070" xr:uid="{00000000-0005-0000-0000-000038280000}"/>
    <cellStyle name="SAPBEXexcBad9_KTR An-Abflug" xfId="14840" xr:uid="{00000000-0005-0000-0000-000039280000}"/>
    <cellStyle name="SAPBEXexcCritical4" xfId="10071" xr:uid="{00000000-0005-0000-0000-00003A280000}"/>
    <cellStyle name="SAPBEXexcCritical4 10" xfId="10072" xr:uid="{00000000-0005-0000-0000-00003B280000}"/>
    <cellStyle name="SAPBEXexcCritical4 10 2" xfId="10073" xr:uid="{00000000-0005-0000-0000-00003C280000}"/>
    <cellStyle name="SAPBEXexcCritical4 10 2 2" xfId="10074" xr:uid="{00000000-0005-0000-0000-00003D280000}"/>
    <cellStyle name="SAPBEXexcCritical4 10 2 3" xfId="10075" xr:uid="{00000000-0005-0000-0000-00003E280000}"/>
    <cellStyle name="SAPBEXexcCritical4 10 2 4" xfId="10076" xr:uid="{00000000-0005-0000-0000-00003F280000}"/>
    <cellStyle name="SAPBEXexcCritical4 10 2 5" xfId="10077" xr:uid="{00000000-0005-0000-0000-000040280000}"/>
    <cellStyle name="SAPBEXexcCritical4 10 3" xfId="10078" xr:uid="{00000000-0005-0000-0000-000041280000}"/>
    <cellStyle name="SAPBEXexcCritical4 10 4" xfId="10079" xr:uid="{00000000-0005-0000-0000-000042280000}"/>
    <cellStyle name="SAPBEXexcCritical4 10 5" xfId="10080" xr:uid="{00000000-0005-0000-0000-000043280000}"/>
    <cellStyle name="SAPBEXexcCritical4 10 6" xfId="10081" xr:uid="{00000000-0005-0000-0000-000044280000}"/>
    <cellStyle name="SAPBEXexcCritical4 11" xfId="10082" xr:uid="{00000000-0005-0000-0000-000045280000}"/>
    <cellStyle name="SAPBEXexcCritical4 11 2" xfId="10083" xr:uid="{00000000-0005-0000-0000-000046280000}"/>
    <cellStyle name="SAPBEXexcCritical4 11 2 2" xfId="10084" xr:uid="{00000000-0005-0000-0000-000047280000}"/>
    <cellStyle name="SAPBEXexcCritical4 11 2 3" xfId="10085" xr:uid="{00000000-0005-0000-0000-000048280000}"/>
    <cellStyle name="SAPBEXexcCritical4 11 2 4" xfId="10086" xr:uid="{00000000-0005-0000-0000-000049280000}"/>
    <cellStyle name="SAPBEXexcCritical4 11 2 5" xfId="10087" xr:uid="{00000000-0005-0000-0000-00004A280000}"/>
    <cellStyle name="SAPBEXexcCritical4 11 3" xfId="10088" xr:uid="{00000000-0005-0000-0000-00004B280000}"/>
    <cellStyle name="SAPBEXexcCritical4 11 4" xfId="10089" xr:uid="{00000000-0005-0000-0000-00004C280000}"/>
    <cellStyle name="SAPBEXexcCritical4 11 5" xfId="10090" xr:uid="{00000000-0005-0000-0000-00004D280000}"/>
    <cellStyle name="SAPBEXexcCritical4 11 6" xfId="10091" xr:uid="{00000000-0005-0000-0000-00004E280000}"/>
    <cellStyle name="SAPBEXexcCritical4 12" xfId="10092" xr:uid="{00000000-0005-0000-0000-00004F280000}"/>
    <cellStyle name="SAPBEXexcCritical4 12 2" xfId="10093" xr:uid="{00000000-0005-0000-0000-000050280000}"/>
    <cellStyle name="SAPBEXexcCritical4 12 2 2" xfId="10094" xr:uid="{00000000-0005-0000-0000-000051280000}"/>
    <cellStyle name="SAPBEXexcCritical4 12 2 3" xfId="10095" xr:uid="{00000000-0005-0000-0000-000052280000}"/>
    <cellStyle name="SAPBEXexcCritical4 12 2 4" xfId="10096" xr:uid="{00000000-0005-0000-0000-000053280000}"/>
    <cellStyle name="SAPBEXexcCritical4 12 2 5" xfId="10097" xr:uid="{00000000-0005-0000-0000-000054280000}"/>
    <cellStyle name="SAPBEXexcCritical4 12 3" xfId="10098" xr:uid="{00000000-0005-0000-0000-000055280000}"/>
    <cellStyle name="SAPBEXexcCritical4 12 4" xfId="10099" xr:uid="{00000000-0005-0000-0000-000056280000}"/>
    <cellStyle name="SAPBEXexcCritical4 12 5" xfId="10100" xr:uid="{00000000-0005-0000-0000-000057280000}"/>
    <cellStyle name="SAPBEXexcCritical4 12 6" xfId="10101" xr:uid="{00000000-0005-0000-0000-000058280000}"/>
    <cellStyle name="SAPBEXexcCritical4 13" xfId="10102" xr:uid="{00000000-0005-0000-0000-000059280000}"/>
    <cellStyle name="SAPBEXexcCritical4 13 2" xfId="10103" xr:uid="{00000000-0005-0000-0000-00005A280000}"/>
    <cellStyle name="SAPBEXexcCritical4 13 2 2" xfId="10104" xr:uid="{00000000-0005-0000-0000-00005B280000}"/>
    <cellStyle name="SAPBEXexcCritical4 13 2 3" xfId="10105" xr:uid="{00000000-0005-0000-0000-00005C280000}"/>
    <cellStyle name="SAPBEXexcCritical4 13 2 4" xfId="10106" xr:uid="{00000000-0005-0000-0000-00005D280000}"/>
    <cellStyle name="SAPBEXexcCritical4 13 2 5" xfId="10107" xr:uid="{00000000-0005-0000-0000-00005E280000}"/>
    <cellStyle name="SAPBEXexcCritical4 13 3" xfId="10108" xr:uid="{00000000-0005-0000-0000-00005F280000}"/>
    <cellStyle name="SAPBEXexcCritical4 13 4" xfId="10109" xr:uid="{00000000-0005-0000-0000-000060280000}"/>
    <cellStyle name="SAPBEXexcCritical4 13 5" xfId="10110" xr:uid="{00000000-0005-0000-0000-000061280000}"/>
    <cellStyle name="SAPBEXexcCritical4 13 6" xfId="10111" xr:uid="{00000000-0005-0000-0000-000062280000}"/>
    <cellStyle name="SAPBEXexcCritical4 14" xfId="10112" xr:uid="{00000000-0005-0000-0000-000063280000}"/>
    <cellStyle name="SAPBEXexcCritical4 14 2" xfId="10113" xr:uid="{00000000-0005-0000-0000-000064280000}"/>
    <cellStyle name="SAPBEXexcCritical4 14 2 2" xfId="10114" xr:uid="{00000000-0005-0000-0000-000065280000}"/>
    <cellStyle name="SAPBEXexcCritical4 14 2 3" xfId="10115" xr:uid="{00000000-0005-0000-0000-000066280000}"/>
    <cellStyle name="SAPBEXexcCritical4 14 2 4" xfId="10116" xr:uid="{00000000-0005-0000-0000-000067280000}"/>
    <cellStyle name="SAPBEXexcCritical4 14 2 5" xfId="10117" xr:uid="{00000000-0005-0000-0000-000068280000}"/>
    <cellStyle name="SAPBEXexcCritical4 14 3" xfId="10118" xr:uid="{00000000-0005-0000-0000-000069280000}"/>
    <cellStyle name="SAPBEXexcCritical4 14 4" xfId="10119" xr:uid="{00000000-0005-0000-0000-00006A280000}"/>
    <cellStyle name="SAPBEXexcCritical4 14 5" xfId="10120" xr:uid="{00000000-0005-0000-0000-00006B280000}"/>
    <cellStyle name="SAPBEXexcCritical4 14 6" xfId="10121" xr:uid="{00000000-0005-0000-0000-00006C280000}"/>
    <cellStyle name="SAPBEXexcCritical4 15" xfId="10122" xr:uid="{00000000-0005-0000-0000-00006D280000}"/>
    <cellStyle name="SAPBEXexcCritical4 15 2" xfId="10123" xr:uid="{00000000-0005-0000-0000-00006E280000}"/>
    <cellStyle name="SAPBEXexcCritical4 15 2 2" xfId="10124" xr:uid="{00000000-0005-0000-0000-00006F280000}"/>
    <cellStyle name="SAPBEXexcCritical4 15 2 3" xfId="10125" xr:uid="{00000000-0005-0000-0000-000070280000}"/>
    <cellStyle name="SAPBEXexcCritical4 15 2 4" xfId="10126" xr:uid="{00000000-0005-0000-0000-000071280000}"/>
    <cellStyle name="SAPBEXexcCritical4 15 2 5" xfId="10127" xr:uid="{00000000-0005-0000-0000-000072280000}"/>
    <cellStyle name="SAPBEXexcCritical4 15 3" xfId="10128" xr:uid="{00000000-0005-0000-0000-000073280000}"/>
    <cellStyle name="SAPBEXexcCritical4 15 4" xfId="10129" xr:uid="{00000000-0005-0000-0000-000074280000}"/>
    <cellStyle name="SAPBEXexcCritical4 15 5" xfId="10130" xr:uid="{00000000-0005-0000-0000-000075280000}"/>
    <cellStyle name="SAPBEXexcCritical4 15 6" xfId="10131" xr:uid="{00000000-0005-0000-0000-000076280000}"/>
    <cellStyle name="SAPBEXexcCritical4 16" xfId="10132" xr:uid="{00000000-0005-0000-0000-000077280000}"/>
    <cellStyle name="SAPBEXexcCritical4 17" xfId="10133" xr:uid="{00000000-0005-0000-0000-000078280000}"/>
    <cellStyle name="SAPBEXexcCritical4 18" xfId="10134" xr:uid="{00000000-0005-0000-0000-000079280000}"/>
    <cellStyle name="SAPBEXexcCritical4 19" xfId="10135" xr:uid="{00000000-0005-0000-0000-00007A280000}"/>
    <cellStyle name="SAPBEXexcCritical4 2" xfId="10136" xr:uid="{00000000-0005-0000-0000-00007B280000}"/>
    <cellStyle name="SAPBEXexcCritical4 2 2" xfId="10137" xr:uid="{00000000-0005-0000-0000-00007C280000}"/>
    <cellStyle name="SAPBEXexcCritical4 2 2 2" xfId="10138" xr:uid="{00000000-0005-0000-0000-00007D280000}"/>
    <cellStyle name="SAPBEXexcCritical4 2 2 3" xfId="10139" xr:uid="{00000000-0005-0000-0000-00007E280000}"/>
    <cellStyle name="SAPBEXexcCritical4 2 2 4" xfId="10140" xr:uid="{00000000-0005-0000-0000-00007F280000}"/>
    <cellStyle name="SAPBEXexcCritical4 2 2 5" xfId="10141" xr:uid="{00000000-0005-0000-0000-000080280000}"/>
    <cellStyle name="SAPBEXexcCritical4 2 3" xfId="10142" xr:uid="{00000000-0005-0000-0000-000081280000}"/>
    <cellStyle name="SAPBEXexcCritical4 2 4" xfId="10143" xr:uid="{00000000-0005-0000-0000-000082280000}"/>
    <cellStyle name="SAPBEXexcCritical4 2 5" xfId="10144" xr:uid="{00000000-0005-0000-0000-000083280000}"/>
    <cellStyle name="SAPBEXexcCritical4 2 6" xfId="10145" xr:uid="{00000000-0005-0000-0000-000084280000}"/>
    <cellStyle name="SAPBEXexcCritical4 3" xfId="10146" xr:uid="{00000000-0005-0000-0000-000085280000}"/>
    <cellStyle name="SAPBEXexcCritical4 3 2" xfId="10147" xr:uid="{00000000-0005-0000-0000-000086280000}"/>
    <cellStyle name="SAPBEXexcCritical4 3 2 2" xfId="10148" xr:uid="{00000000-0005-0000-0000-000087280000}"/>
    <cellStyle name="SAPBEXexcCritical4 3 2 3" xfId="10149" xr:uid="{00000000-0005-0000-0000-000088280000}"/>
    <cellStyle name="SAPBEXexcCritical4 3 2 4" xfId="10150" xr:uid="{00000000-0005-0000-0000-000089280000}"/>
    <cellStyle name="SAPBEXexcCritical4 3 2 5" xfId="10151" xr:uid="{00000000-0005-0000-0000-00008A280000}"/>
    <cellStyle name="SAPBEXexcCritical4 3 3" xfId="10152" xr:uid="{00000000-0005-0000-0000-00008B280000}"/>
    <cellStyle name="SAPBEXexcCritical4 3 4" xfId="10153" xr:uid="{00000000-0005-0000-0000-00008C280000}"/>
    <cellStyle name="SAPBEXexcCritical4 3 5" xfId="10154" xr:uid="{00000000-0005-0000-0000-00008D280000}"/>
    <cellStyle name="SAPBEXexcCritical4 3 6" xfId="10155" xr:uid="{00000000-0005-0000-0000-00008E280000}"/>
    <cellStyle name="SAPBEXexcCritical4 4" xfId="10156" xr:uid="{00000000-0005-0000-0000-00008F280000}"/>
    <cellStyle name="SAPBEXexcCritical4 4 2" xfId="10157" xr:uid="{00000000-0005-0000-0000-000090280000}"/>
    <cellStyle name="SAPBEXexcCritical4 4 2 2" xfId="10158" xr:uid="{00000000-0005-0000-0000-000091280000}"/>
    <cellStyle name="SAPBEXexcCritical4 4 2 3" xfId="10159" xr:uid="{00000000-0005-0000-0000-000092280000}"/>
    <cellStyle name="SAPBEXexcCritical4 4 2 4" xfId="10160" xr:uid="{00000000-0005-0000-0000-000093280000}"/>
    <cellStyle name="SAPBEXexcCritical4 4 2 5" xfId="10161" xr:uid="{00000000-0005-0000-0000-000094280000}"/>
    <cellStyle name="SAPBEXexcCritical4 4 3" xfId="10162" xr:uid="{00000000-0005-0000-0000-000095280000}"/>
    <cellStyle name="SAPBEXexcCritical4 4 4" xfId="10163" xr:uid="{00000000-0005-0000-0000-000096280000}"/>
    <cellStyle name="SAPBEXexcCritical4 4 5" xfId="10164" xr:uid="{00000000-0005-0000-0000-000097280000}"/>
    <cellStyle name="SAPBEXexcCritical4 4 6" xfId="10165" xr:uid="{00000000-0005-0000-0000-000098280000}"/>
    <cellStyle name="SAPBEXexcCritical4 5" xfId="10166" xr:uid="{00000000-0005-0000-0000-000099280000}"/>
    <cellStyle name="SAPBEXexcCritical4 5 2" xfId="10167" xr:uid="{00000000-0005-0000-0000-00009A280000}"/>
    <cellStyle name="SAPBEXexcCritical4 5 2 2" xfId="10168" xr:uid="{00000000-0005-0000-0000-00009B280000}"/>
    <cellStyle name="SAPBEXexcCritical4 5 2 3" xfId="10169" xr:uid="{00000000-0005-0000-0000-00009C280000}"/>
    <cellStyle name="SAPBEXexcCritical4 5 2 4" xfId="10170" xr:uid="{00000000-0005-0000-0000-00009D280000}"/>
    <cellStyle name="SAPBEXexcCritical4 5 2 5" xfId="10171" xr:uid="{00000000-0005-0000-0000-00009E280000}"/>
    <cellStyle name="SAPBEXexcCritical4 5 3" xfId="10172" xr:uid="{00000000-0005-0000-0000-00009F280000}"/>
    <cellStyle name="SAPBEXexcCritical4 5 4" xfId="10173" xr:uid="{00000000-0005-0000-0000-0000A0280000}"/>
    <cellStyle name="SAPBEXexcCritical4 5 5" xfId="10174" xr:uid="{00000000-0005-0000-0000-0000A1280000}"/>
    <cellStyle name="SAPBEXexcCritical4 5 6" xfId="10175" xr:uid="{00000000-0005-0000-0000-0000A2280000}"/>
    <cellStyle name="SAPBEXexcCritical4 6" xfId="10176" xr:uid="{00000000-0005-0000-0000-0000A3280000}"/>
    <cellStyle name="SAPBEXexcCritical4 6 2" xfId="10177" xr:uid="{00000000-0005-0000-0000-0000A4280000}"/>
    <cellStyle name="SAPBEXexcCritical4 6 2 2" xfId="10178" xr:uid="{00000000-0005-0000-0000-0000A5280000}"/>
    <cellStyle name="SAPBEXexcCritical4 6 2 3" xfId="10179" xr:uid="{00000000-0005-0000-0000-0000A6280000}"/>
    <cellStyle name="SAPBEXexcCritical4 6 2 4" xfId="10180" xr:uid="{00000000-0005-0000-0000-0000A7280000}"/>
    <cellStyle name="SAPBEXexcCritical4 6 2 5" xfId="10181" xr:uid="{00000000-0005-0000-0000-0000A8280000}"/>
    <cellStyle name="SAPBEXexcCritical4 6 3" xfId="10182" xr:uid="{00000000-0005-0000-0000-0000A9280000}"/>
    <cellStyle name="SAPBEXexcCritical4 6 4" xfId="10183" xr:uid="{00000000-0005-0000-0000-0000AA280000}"/>
    <cellStyle name="SAPBEXexcCritical4 6 5" xfId="10184" xr:uid="{00000000-0005-0000-0000-0000AB280000}"/>
    <cellStyle name="SAPBEXexcCritical4 6 6" xfId="10185" xr:uid="{00000000-0005-0000-0000-0000AC280000}"/>
    <cellStyle name="SAPBEXexcCritical4 7" xfId="10186" xr:uid="{00000000-0005-0000-0000-0000AD280000}"/>
    <cellStyle name="SAPBEXexcCritical4 7 2" xfId="10187" xr:uid="{00000000-0005-0000-0000-0000AE280000}"/>
    <cellStyle name="SAPBEXexcCritical4 7 2 2" xfId="10188" xr:uid="{00000000-0005-0000-0000-0000AF280000}"/>
    <cellStyle name="SAPBEXexcCritical4 7 2 3" xfId="10189" xr:uid="{00000000-0005-0000-0000-0000B0280000}"/>
    <cellStyle name="SAPBEXexcCritical4 7 2 4" xfId="10190" xr:uid="{00000000-0005-0000-0000-0000B1280000}"/>
    <cellStyle name="SAPBEXexcCritical4 7 2 5" xfId="10191" xr:uid="{00000000-0005-0000-0000-0000B2280000}"/>
    <cellStyle name="SAPBEXexcCritical4 7 3" xfId="10192" xr:uid="{00000000-0005-0000-0000-0000B3280000}"/>
    <cellStyle name="SAPBEXexcCritical4 7 4" xfId="10193" xr:uid="{00000000-0005-0000-0000-0000B4280000}"/>
    <cellStyle name="SAPBEXexcCritical4 7 5" xfId="10194" xr:uid="{00000000-0005-0000-0000-0000B5280000}"/>
    <cellStyle name="SAPBEXexcCritical4 7 6" xfId="10195" xr:uid="{00000000-0005-0000-0000-0000B6280000}"/>
    <cellStyle name="SAPBEXexcCritical4 8" xfId="10196" xr:uid="{00000000-0005-0000-0000-0000B7280000}"/>
    <cellStyle name="SAPBEXexcCritical4 8 2" xfId="10197" xr:uid="{00000000-0005-0000-0000-0000B8280000}"/>
    <cellStyle name="SAPBEXexcCritical4 8 2 2" xfId="10198" xr:uid="{00000000-0005-0000-0000-0000B9280000}"/>
    <cellStyle name="SAPBEXexcCritical4 8 2 3" xfId="10199" xr:uid="{00000000-0005-0000-0000-0000BA280000}"/>
    <cellStyle name="SAPBEXexcCritical4 8 2 4" xfId="10200" xr:uid="{00000000-0005-0000-0000-0000BB280000}"/>
    <cellStyle name="SAPBEXexcCritical4 8 2 5" xfId="10201" xr:uid="{00000000-0005-0000-0000-0000BC280000}"/>
    <cellStyle name="SAPBEXexcCritical4 8 3" xfId="10202" xr:uid="{00000000-0005-0000-0000-0000BD280000}"/>
    <cellStyle name="SAPBEXexcCritical4 8 4" xfId="10203" xr:uid="{00000000-0005-0000-0000-0000BE280000}"/>
    <cellStyle name="SAPBEXexcCritical4 8 5" xfId="10204" xr:uid="{00000000-0005-0000-0000-0000BF280000}"/>
    <cellStyle name="SAPBEXexcCritical4 8 6" xfId="10205" xr:uid="{00000000-0005-0000-0000-0000C0280000}"/>
    <cellStyle name="SAPBEXexcCritical4 9" xfId="10206" xr:uid="{00000000-0005-0000-0000-0000C1280000}"/>
    <cellStyle name="SAPBEXexcCritical4 9 2" xfId="10207" xr:uid="{00000000-0005-0000-0000-0000C2280000}"/>
    <cellStyle name="SAPBEXexcCritical4 9 2 2" xfId="10208" xr:uid="{00000000-0005-0000-0000-0000C3280000}"/>
    <cellStyle name="SAPBEXexcCritical4 9 2 3" xfId="10209" xr:uid="{00000000-0005-0000-0000-0000C4280000}"/>
    <cellStyle name="SAPBEXexcCritical4 9 2 4" xfId="10210" xr:uid="{00000000-0005-0000-0000-0000C5280000}"/>
    <cellStyle name="SAPBEXexcCritical4 9 2 5" xfId="10211" xr:uid="{00000000-0005-0000-0000-0000C6280000}"/>
    <cellStyle name="SAPBEXexcCritical4 9 3" xfId="10212" xr:uid="{00000000-0005-0000-0000-0000C7280000}"/>
    <cellStyle name="SAPBEXexcCritical4 9 4" xfId="10213" xr:uid="{00000000-0005-0000-0000-0000C8280000}"/>
    <cellStyle name="SAPBEXexcCritical4 9 5" xfId="10214" xr:uid="{00000000-0005-0000-0000-0000C9280000}"/>
    <cellStyle name="SAPBEXexcCritical4 9 6" xfId="10215" xr:uid="{00000000-0005-0000-0000-0000CA280000}"/>
    <cellStyle name="SAPBEXexcCritical4_KTR An-Abflug" xfId="14882" xr:uid="{00000000-0005-0000-0000-0000CB280000}"/>
    <cellStyle name="SAPBEXexcCritical5" xfId="10216" xr:uid="{00000000-0005-0000-0000-0000CC280000}"/>
    <cellStyle name="SAPBEXexcCritical5 10" xfId="10217" xr:uid="{00000000-0005-0000-0000-0000CD280000}"/>
    <cellStyle name="SAPBEXexcCritical5 10 2" xfId="10218" xr:uid="{00000000-0005-0000-0000-0000CE280000}"/>
    <cellStyle name="SAPBEXexcCritical5 10 2 2" xfId="10219" xr:uid="{00000000-0005-0000-0000-0000CF280000}"/>
    <cellStyle name="SAPBEXexcCritical5 10 2 3" xfId="10220" xr:uid="{00000000-0005-0000-0000-0000D0280000}"/>
    <cellStyle name="SAPBEXexcCritical5 10 2 4" xfId="10221" xr:uid="{00000000-0005-0000-0000-0000D1280000}"/>
    <cellStyle name="SAPBEXexcCritical5 10 2 5" xfId="10222" xr:uid="{00000000-0005-0000-0000-0000D2280000}"/>
    <cellStyle name="SAPBEXexcCritical5 10 3" xfId="10223" xr:uid="{00000000-0005-0000-0000-0000D3280000}"/>
    <cellStyle name="SAPBEXexcCritical5 10 4" xfId="10224" xr:uid="{00000000-0005-0000-0000-0000D4280000}"/>
    <cellStyle name="SAPBEXexcCritical5 10 5" xfId="10225" xr:uid="{00000000-0005-0000-0000-0000D5280000}"/>
    <cellStyle name="SAPBEXexcCritical5 10 6" xfId="10226" xr:uid="{00000000-0005-0000-0000-0000D6280000}"/>
    <cellStyle name="SAPBEXexcCritical5 11" xfId="10227" xr:uid="{00000000-0005-0000-0000-0000D7280000}"/>
    <cellStyle name="SAPBEXexcCritical5 11 2" xfId="10228" xr:uid="{00000000-0005-0000-0000-0000D8280000}"/>
    <cellStyle name="SAPBEXexcCritical5 11 2 2" xfId="10229" xr:uid="{00000000-0005-0000-0000-0000D9280000}"/>
    <cellStyle name="SAPBEXexcCritical5 11 2 3" xfId="10230" xr:uid="{00000000-0005-0000-0000-0000DA280000}"/>
    <cellStyle name="SAPBEXexcCritical5 11 2 4" xfId="10231" xr:uid="{00000000-0005-0000-0000-0000DB280000}"/>
    <cellStyle name="SAPBEXexcCritical5 11 2 5" xfId="10232" xr:uid="{00000000-0005-0000-0000-0000DC280000}"/>
    <cellStyle name="SAPBEXexcCritical5 11 3" xfId="10233" xr:uid="{00000000-0005-0000-0000-0000DD280000}"/>
    <cellStyle name="SAPBEXexcCritical5 11 4" xfId="10234" xr:uid="{00000000-0005-0000-0000-0000DE280000}"/>
    <cellStyle name="SAPBEXexcCritical5 11 5" xfId="10235" xr:uid="{00000000-0005-0000-0000-0000DF280000}"/>
    <cellStyle name="SAPBEXexcCritical5 11 6" xfId="10236" xr:uid="{00000000-0005-0000-0000-0000E0280000}"/>
    <cellStyle name="SAPBEXexcCritical5 12" xfId="10237" xr:uid="{00000000-0005-0000-0000-0000E1280000}"/>
    <cellStyle name="SAPBEXexcCritical5 12 2" xfId="10238" xr:uid="{00000000-0005-0000-0000-0000E2280000}"/>
    <cellStyle name="SAPBEXexcCritical5 12 2 2" xfId="10239" xr:uid="{00000000-0005-0000-0000-0000E3280000}"/>
    <cellStyle name="SAPBEXexcCritical5 12 2 3" xfId="10240" xr:uid="{00000000-0005-0000-0000-0000E4280000}"/>
    <cellStyle name="SAPBEXexcCritical5 12 2 4" xfId="10241" xr:uid="{00000000-0005-0000-0000-0000E5280000}"/>
    <cellStyle name="SAPBEXexcCritical5 12 2 5" xfId="10242" xr:uid="{00000000-0005-0000-0000-0000E6280000}"/>
    <cellStyle name="SAPBEXexcCritical5 12 3" xfId="10243" xr:uid="{00000000-0005-0000-0000-0000E7280000}"/>
    <cellStyle name="SAPBEXexcCritical5 12 4" xfId="10244" xr:uid="{00000000-0005-0000-0000-0000E8280000}"/>
    <cellStyle name="SAPBEXexcCritical5 12 5" xfId="10245" xr:uid="{00000000-0005-0000-0000-0000E9280000}"/>
    <cellStyle name="SAPBEXexcCritical5 12 6" xfId="10246" xr:uid="{00000000-0005-0000-0000-0000EA280000}"/>
    <cellStyle name="SAPBEXexcCritical5 13" xfId="10247" xr:uid="{00000000-0005-0000-0000-0000EB280000}"/>
    <cellStyle name="SAPBEXexcCritical5 13 2" xfId="10248" xr:uid="{00000000-0005-0000-0000-0000EC280000}"/>
    <cellStyle name="SAPBEXexcCritical5 13 2 2" xfId="10249" xr:uid="{00000000-0005-0000-0000-0000ED280000}"/>
    <cellStyle name="SAPBEXexcCritical5 13 2 3" xfId="10250" xr:uid="{00000000-0005-0000-0000-0000EE280000}"/>
    <cellStyle name="SAPBEXexcCritical5 13 2 4" xfId="10251" xr:uid="{00000000-0005-0000-0000-0000EF280000}"/>
    <cellStyle name="SAPBEXexcCritical5 13 2 5" xfId="10252" xr:uid="{00000000-0005-0000-0000-0000F0280000}"/>
    <cellStyle name="SAPBEXexcCritical5 13 3" xfId="10253" xr:uid="{00000000-0005-0000-0000-0000F1280000}"/>
    <cellStyle name="SAPBEXexcCritical5 13 4" xfId="10254" xr:uid="{00000000-0005-0000-0000-0000F2280000}"/>
    <cellStyle name="SAPBEXexcCritical5 13 5" xfId="10255" xr:uid="{00000000-0005-0000-0000-0000F3280000}"/>
    <cellStyle name="SAPBEXexcCritical5 13 6" xfId="10256" xr:uid="{00000000-0005-0000-0000-0000F4280000}"/>
    <cellStyle name="SAPBEXexcCritical5 14" xfId="10257" xr:uid="{00000000-0005-0000-0000-0000F5280000}"/>
    <cellStyle name="SAPBEXexcCritical5 14 2" xfId="10258" xr:uid="{00000000-0005-0000-0000-0000F6280000}"/>
    <cellStyle name="SAPBEXexcCritical5 14 2 2" xfId="10259" xr:uid="{00000000-0005-0000-0000-0000F7280000}"/>
    <cellStyle name="SAPBEXexcCritical5 14 2 3" xfId="10260" xr:uid="{00000000-0005-0000-0000-0000F8280000}"/>
    <cellStyle name="SAPBEXexcCritical5 14 2 4" xfId="10261" xr:uid="{00000000-0005-0000-0000-0000F9280000}"/>
    <cellStyle name="SAPBEXexcCritical5 14 2 5" xfId="10262" xr:uid="{00000000-0005-0000-0000-0000FA280000}"/>
    <cellStyle name="SAPBEXexcCritical5 14 3" xfId="10263" xr:uid="{00000000-0005-0000-0000-0000FB280000}"/>
    <cellStyle name="SAPBEXexcCritical5 14 4" xfId="10264" xr:uid="{00000000-0005-0000-0000-0000FC280000}"/>
    <cellStyle name="SAPBEXexcCritical5 14 5" xfId="10265" xr:uid="{00000000-0005-0000-0000-0000FD280000}"/>
    <cellStyle name="SAPBEXexcCritical5 14 6" xfId="10266" xr:uid="{00000000-0005-0000-0000-0000FE280000}"/>
    <cellStyle name="SAPBEXexcCritical5 15" xfId="10267" xr:uid="{00000000-0005-0000-0000-0000FF280000}"/>
    <cellStyle name="SAPBEXexcCritical5 15 2" xfId="10268" xr:uid="{00000000-0005-0000-0000-000000290000}"/>
    <cellStyle name="SAPBEXexcCritical5 15 2 2" xfId="10269" xr:uid="{00000000-0005-0000-0000-000001290000}"/>
    <cellStyle name="SAPBEXexcCritical5 15 2 3" xfId="10270" xr:uid="{00000000-0005-0000-0000-000002290000}"/>
    <cellStyle name="SAPBEXexcCritical5 15 2 4" xfId="10271" xr:uid="{00000000-0005-0000-0000-000003290000}"/>
    <cellStyle name="SAPBEXexcCritical5 15 2 5" xfId="10272" xr:uid="{00000000-0005-0000-0000-000004290000}"/>
    <cellStyle name="SAPBEXexcCritical5 15 3" xfId="10273" xr:uid="{00000000-0005-0000-0000-000005290000}"/>
    <cellStyle name="SAPBEXexcCritical5 15 4" xfId="10274" xr:uid="{00000000-0005-0000-0000-000006290000}"/>
    <cellStyle name="SAPBEXexcCritical5 15 5" xfId="10275" xr:uid="{00000000-0005-0000-0000-000007290000}"/>
    <cellStyle name="SAPBEXexcCritical5 15 6" xfId="10276" xr:uid="{00000000-0005-0000-0000-000008290000}"/>
    <cellStyle name="SAPBEXexcCritical5 16" xfId="10277" xr:uid="{00000000-0005-0000-0000-000009290000}"/>
    <cellStyle name="SAPBEXexcCritical5 17" xfId="10278" xr:uid="{00000000-0005-0000-0000-00000A290000}"/>
    <cellStyle name="SAPBEXexcCritical5 18" xfId="10279" xr:uid="{00000000-0005-0000-0000-00000B290000}"/>
    <cellStyle name="SAPBEXexcCritical5 19" xfId="10280" xr:uid="{00000000-0005-0000-0000-00000C290000}"/>
    <cellStyle name="SAPBEXexcCritical5 2" xfId="10281" xr:uid="{00000000-0005-0000-0000-00000D290000}"/>
    <cellStyle name="SAPBEXexcCritical5 2 2" xfId="10282" xr:uid="{00000000-0005-0000-0000-00000E290000}"/>
    <cellStyle name="SAPBEXexcCritical5 2 2 2" xfId="10283" xr:uid="{00000000-0005-0000-0000-00000F290000}"/>
    <cellStyle name="SAPBEXexcCritical5 2 2 3" xfId="10284" xr:uid="{00000000-0005-0000-0000-000010290000}"/>
    <cellStyle name="SAPBEXexcCritical5 2 2 4" xfId="10285" xr:uid="{00000000-0005-0000-0000-000011290000}"/>
    <cellStyle name="SAPBEXexcCritical5 2 2 5" xfId="10286" xr:uid="{00000000-0005-0000-0000-000012290000}"/>
    <cellStyle name="SAPBEXexcCritical5 2 3" xfId="10287" xr:uid="{00000000-0005-0000-0000-000013290000}"/>
    <cellStyle name="SAPBEXexcCritical5 2 4" xfId="10288" xr:uid="{00000000-0005-0000-0000-000014290000}"/>
    <cellStyle name="SAPBEXexcCritical5 2 5" xfId="10289" xr:uid="{00000000-0005-0000-0000-000015290000}"/>
    <cellStyle name="SAPBEXexcCritical5 2 6" xfId="10290" xr:uid="{00000000-0005-0000-0000-000016290000}"/>
    <cellStyle name="SAPBEXexcCritical5 3" xfId="10291" xr:uid="{00000000-0005-0000-0000-000017290000}"/>
    <cellStyle name="SAPBEXexcCritical5 3 2" xfId="10292" xr:uid="{00000000-0005-0000-0000-000018290000}"/>
    <cellStyle name="SAPBEXexcCritical5 3 2 2" xfId="10293" xr:uid="{00000000-0005-0000-0000-000019290000}"/>
    <cellStyle name="SAPBEXexcCritical5 3 2 3" xfId="10294" xr:uid="{00000000-0005-0000-0000-00001A290000}"/>
    <cellStyle name="SAPBEXexcCritical5 3 2 4" xfId="10295" xr:uid="{00000000-0005-0000-0000-00001B290000}"/>
    <cellStyle name="SAPBEXexcCritical5 3 2 5" xfId="10296" xr:uid="{00000000-0005-0000-0000-00001C290000}"/>
    <cellStyle name="SAPBEXexcCritical5 3 3" xfId="10297" xr:uid="{00000000-0005-0000-0000-00001D290000}"/>
    <cellStyle name="SAPBEXexcCritical5 3 4" xfId="10298" xr:uid="{00000000-0005-0000-0000-00001E290000}"/>
    <cellStyle name="SAPBEXexcCritical5 3 5" xfId="10299" xr:uid="{00000000-0005-0000-0000-00001F290000}"/>
    <cellStyle name="SAPBEXexcCritical5 3 6" xfId="10300" xr:uid="{00000000-0005-0000-0000-000020290000}"/>
    <cellStyle name="SAPBEXexcCritical5 4" xfId="10301" xr:uid="{00000000-0005-0000-0000-000021290000}"/>
    <cellStyle name="SAPBEXexcCritical5 4 2" xfId="10302" xr:uid="{00000000-0005-0000-0000-000022290000}"/>
    <cellStyle name="SAPBEXexcCritical5 4 2 2" xfId="10303" xr:uid="{00000000-0005-0000-0000-000023290000}"/>
    <cellStyle name="SAPBEXexcCritical5 4 2 3" xfId="10304" xr:uid="{00000000-0005-0000-0000-000024290000}"/>
    <cellStyle name="SAPBEXexcCritical5 4 2 4" xfId="10305" xr:uid="{00000000-0005-0000-0000-000025290000}"/>
    <cellStyle name="SAPBEXexcCritical5 4 2 5" xfId="10306" xr:uid="{00000000-0005-0000-0000-000026290000}"/>
    <cellStyle name="SAPBEXexcCritical5 4 3" xfId="10307" xr:uid="{00000000-0005-0000-0000-000027290000}"/>
    <cellStyle name="SAPBEXexcCritical5 4 4" xfId="10308" xr:uid="{00000000-0005-0000-0000-000028290000}"/>
    <cellStyle name="SAPBEXexcCritical5 4 5" xfId="10309" xr:uid="{00000000-0005-0000-0000-000029290000}"/>
    <cellStyle name="SAPBEXexcCritical5 4 6" xfId="10310" xr:uid="{00000000-0005-0000-0000-00002A290000}"/>
    <cellStyle name="SAPBEXexcCritical5 5" xfId="10311" xr:uid="{00000000-0005-0000-0000-00002B290000}"/>
    <cellStyle name="SAPBEXexcCritical5 5 2" xfId="10312" xr:uid="{00000000-0005-0000-0000-00002C290000}"/>
    <cellStyle name="SAPBEXexcCritical5 5 2 2" xfId="10313" xr:uid="{00000000-0005-0000-0000-00002D290000}"/>
    <cellStyle name="SAPBEXexcCritical5 5 2 3" xfId="10314" xr:uid="{00000000-0005-0000-0000-00002E290000}"/>
    <cellStyle name="SAPBEXexcCritical5 5 2 4" xfId="10315" xr:uid="{00000000-0005-0000-0000-00002F290000}"/>
    <cellStyle name="SAPBEXexcCritical5 5 2 5" xfId="10316" xr:uid="{00000000-0005-0000-0000-000030290000}"/>
    <cellStyle name="SAPBEXexcCritical5 5 3" xfId="10317" xr:uid="{00000000-0005-0000-0000-000031290000}"/>
    <cellStyle name="SAPBEXexcCritical5 5 4" xfId="10318" xr:uid="{00000000-0005-0000-0000-000032290000}"/>
    <cellStyle name="SAPBEXexcCritical5 5 5" xfId="10319" xr:uid="{00000000-0005-0000-0000-000033290000}"/>
    <cellStyle name="SAPBEXexcCritical5 5 6" xfId="10320" xr:uid="{00000000-0005-0000-0000-000034290000}"/>
    <cellStyle name="SAPBEXexcCritical5 6" xfId="10321" xr:uid="{00000000-0005-0000-0000-000035290000}"/>
    <cellStyle name="SAPBEXexcCritical5 6 2" xfId="10322" xr:uid="{00000000-0005-0000-0000-000036290000}"/>
    <cellStyle name="SAPBEXexcCritical5 6 2 2" xfId="10323" xr:uid="{00000000-0005-0000-0000-000037290000}"/>
    <cellStyle name="SAPBEXexcCritical5 6 2 3" xfId="10324" xr:uid="{00000000-0005-0000-0000-000038290000}"/>
    <cellStyle name="SAPBEXexcCritical5 6 2 4" xfId="10325" xr:uid="{00000000-0005-0000-0000-000039290000}"/>
    <cellStyle name="SAPBEXexcCritical5 6 2 5" xfId="10326" xr:uid="{00000000-0005-0000-0000-00003A290000}"/>
    <cellStyle name="SAPBEXexcCritical5 6 3" xfId="10327" xr:uid="{00000000-0005-0000-0000-00003B290000}"/>
    <cellStyle name="SAPBEXexcCritical5 6 4" xfId="10328" xr:uid="{00000000-0005-0000-0000-00003C290000}"/>
    <cellStyle name="SAPBEXexcCritical5 6 5" xfId="10329" xr:uid="{00000000-0005-0000-0000-00003D290000}"/>
    <cellStyle name="SAPBEXexcCritical5 6 6" xfId="10330" xr:uid="{00000000-0005-0000-0000-00003E290000}"/>
    <cellStyle name="SAPBEXexcCritical5 7" xfId="10331" xr:uid="{00000000-0005-0000-0000-00003F290000}"/>
    <cellStyle name="SAPBEXexcCritical5 7 2" xfId="10332" xr:uid="{00000000-0005-0000-0000-000040290000}"/>
    <cellStyle name="SAPBEXexcCritical5 7 2 2" xfId="10333" xr:uid="{00000000-0005-0000-0000-000041290000}"/>
    <cellStyle name="SAPBEXexcCritical5 7 2 3" xfId="10334" xr:uid="{00000000-0005-0000-0000-000042290000}"/>
    <cellStyle name="SAPBEXexcCritical5 7 2 4" xfId="10335" xr:uid="{00000000-0005-0000-0000-000043290000}"/>
    <cellStyle name="SAPBEXexcCritical5 7 2 5" xfId="10336" xr:uid="{00000000-0005-0000-0000-000044290000}"/>
    <cellStyle name="SAPBEXexcCritical5 7 3" xfId="10337" xr:uid="{00000000-0005-0000-0000-000045290000}"/>
    <cellStyle name="SAPBEXexcCritical5 7 4" xfId="10338" xr:uid="{00000000-0005-0000-0000-000046290000}"/>
    <cellStyle name="SAPBEXexcCritical5 7 5" xfId="10339" xr:uid="{00000000-0005-0000-0000-000047290000}"/>
    <cellStyle name="SAPBEXexcCritical5 7 6" xfId="10340" xr:uid="{00000000-0005-0000-0000-000048290000}"/>
    <cellStyle name="SAPBEXexcCritical5 8" xfId="10341" xr:uid="{00000000-0005-0000-0000-000049290000}"/>
    <cellStyle name="SAPBEXexcCritical5 8 2" xfId="10342" xr:uid="{00000000-0005-0000-0000-00004A290000}"/>
    <cellStyle name="SAPBEXexcCritical5 8 2 2" xfId="10343" xr:uid="{00000000-0005-0000-0000-00004B290000}"/>
    <cellStyle name="SAPBEXexcCritical5 8 2 3" xfId="10344" xr:uid="{00000000-0005-0000-0000-00004C290000}"/>
    <cellStyle name="SAPBEXexcCritical5 8 2 4" xfId="10345" xr:uid="{00000000-0005-0000-0000-00004D290000}"/>
    <cellStyle name="SAPBEXexcCritical5 8 2 5" xfId="10346" xr:uid="{00000000-0005-0000-0000-00004E290000}"/>
    <cellStyle name="SAPBEXexcCritical5 8 3" xfId="10347" xr:uid="{00000000-0005-0000-0000-00004F290000}"/>
    <cellStyle name="SAPBEXexcCritical5 8 4" xfId="10348" xr:uid="{00000000-0005-0000-0000-000050290000}"/>
    <cellStyle name="SAPBEXexcCritical5 8 5" xfId="10349" xr:uid="{00000000-0005-0000-0000-000051290000}"/>
    <cellStyle name="SAPBEXexcCritical5 8 6" xfId="10350" xr:uid="{00000000-0005-0000-0000-000052290000}"/>
    <cellStyle name="SAPBEXexcCritical5 9" xfId="10351" xr:uid="{00000000-0005-0000-0000-000053290000}"/>
    <cellStyle name="SAPBEXexcCritical5 9 2" xfId="10352" xr:uid="{00000000-0005-0000-0000-000054290000}"/>
    <cellStyle name="SAPBEXexcCritical5 9 2 2" xfId="10353" xr:uid="{00000000-0005-0000-0000-000055290000}"/>
    <cellStyle name="SAPBEXexcCritical5 9 2 3" xfId="10354" xr:uid="{00000000-0005-0000-0000-000056290000}"/>
    <cellStyle name="SAPBEXexcCritical5 9 2 4" xfId="10355" xr:uid="{00000000-0005-0000-0000-000057290000}"/>
    <cellStyle name="SAPBEXexcCritical5 9 2 5" xfId="10356" xr:uid="{00000000-0005-0000-0000-000058290000}"/>
    <cellStyle name="SAPBEXexcCritical5 9 3" xfId="10357" xr:uid="{00000000-0005-0000-0000-000059290000}"/>
    <cellStyle name="SAPBEXexcCritical5 9 4" xfId="10358" xr:uid="{00000000-0005-0000-0000-00005A290000}"/>
    <cellStyle name="SAPBEXexcCritical5 9 5" xfId="10359" xr:uid="{00000000-0005-0000-0000-00005B290000}"/>
    <cellStyle name="SAPBEXexcCritical5 9 6" xfId="10360" xr:uid="{00000000-0005-0000-0000-00005C290000}"/>
    <cellStyle name="SAPBEXexcCritical5_KTR An-Abflug" xfId="14890" xr:uid="{00000000-0005-0000-0000-00005D290000}"/>
    <cellStyle name="SAPBEXexcCritical6" xfId="10361" xr:uid="{00000000-0005-0000-0000-00005E290000}"/>
    <cellStyle name="SAPBEXexcCritical6 10" xfId="10362" xr:uid="{00000000-0005-0000-0000-00005F290000}"/>
    <cellStyle name="SAPBEXexcCritical6 10 2" xfId="10363" xr:uid="{00000000-0005-0000-0000-000060290000}"/>
    <cellStyle name="SAPBEXexcCritical6 10 2 2" xfId="10364" xr:uid="{00000000-0005-0000-0000-000061290000}"/>
    <cellStyle name="SAPBEXexcCritical6 10 2 3" xfId="10365" xr:uid="{00000000-0005-0000-0000-000062290000}"/>
    <cellStyle name="SAPBEXexcCritical6 10 2 4" xfId="10366" xr:uid="{00000000-0005-0000-0000-000063290000}"/>
    <cellStyle name="SAPBEXexcCritical6 10 2 5" xfId="10367" xr:uid="{00000000-0005-0000-0000-000064290000}"/>
    <cellStyle name="SAPBEXexcCritical6 10 3" xfId="10368" xr:uid="{00000000-0005-0000-0000-000065290000}"/>
    <cellStyle name="SAPBEXexcCritical6 10 4" xfId="10369" xr:uid="{00000000-0005-0000-0000-000066290000}"/>
    <cellStyle name="SAPBEXexcCritical6 10 5" xfId="10370" xr:uid="{00000000-0005-0000-0000-000067290000}"/>
    <cellStyle name="SAPBEXexcCritical6 10 6" xfId="10371" xr:uid="{00000000-0005-0000-0000-000068290000}"/>
    <cellStyle name="SAPBEXexcCritical6 11" xfId="10372" xr:uid="{00000000-0005-0000-0000-000069290000}"/>
    <cellStyle name="SAPBEXexcCritical6 11 2" xfId="10373" xr:uid="{00000000-0005-0000-0000-00006A290000}"/>
    <cellStyle name="SAPBEXexcCritical6 11 2 2" xfId="10374" xr:uid="{00000000-0005-0000-0000-00006B290000}"/>
    <cellStyle name="SAPBEXexcCritical6 11 2 3" xfId="10375" xr:uid="{00000000-0005-0000-0000-00006C290000}"/>
    <cellStyle name="SAPBEXexcCritical6 11 2 4" xfId="10376" xr:uid="{00000000-0005-0000-0000-00006D290000}"/>
    <cellStyle name="SAPBEXexcCritical6 11 2 5" xfId="10377" xr:uid="{00000000-0005-0000-0000-00006E290000}"/>
    <cellStyle name="SAPBEXexcCritical6 11 3" xfId="10378" xr:uid="{00000000-0005-0000-0000-00006F290000}"/>
    <cellStyle name="SAPBEXexcCritical6 11 4" xfId="10379" xr:uid="{00000000-0005-0000-0000-000070290000}"/>
    <cellStyle name="SAPBEXexcCritical6 11 5" xfId="10380" xr:uid="{00000000-0005-0000-0000-000071290000}"/>
    <cellStyle name="SAPBEXexcCritical6 11 6" xfId="10381" xr:uid="{00000000-0005-0000-0000-000072290000}"/>
    <cellStyle name="SAPBEXexcCritical6 12" xfId="10382" xr:uid="{00000000-0005-0000-0000-000073290000}"/>
    <cellStyle name="SAPBEXexcCritical6 12 2" xfId="10383" xr:uid="{00000000-0005-0000-0000-000074290000}"/>
    <cellStyle name="SAPBEXexcCritical6 12 2 2" xfId="10384" xr:uid="{00000000-0005-0000-0000-000075290000}"/>
    <cellStyle name="SAPBEXexcCritical6 12 2 3" xfId="10385" xr:uid="{00000000-0005-0000-0000-000076290000}"/>
    <cellStyle name="SAPBEXexcCritical6 12 2 4" xfId="10386" xr:uid="{00000000-0005-0000-0000-000077290000}"/>
    <cellStyle name="SAPBEXexcCritical6 12 2 5" xfId="10387" xr:uid="{00000000-0005-0000-0000-000078290000}"/>
    <cellStyle name="SAPBEXexcCritical6 12 3" xfId="10388" xr:uid="{00000000-0005-0000-0000-000079290000}"/>
    <cellStyle name="SAPBEXexcCritical6 12 4" xfId="10389" xr:uid="{00000000-0005-0000-0000-00007A290000}"/>
    <cellStyle name="SAPBEXexcCritical6 12 5" xfId="10390" xr:uid="{00000000-0005-0000-0000-00007B290000}"/>
    <cellStyle name="SAPBEXexcCritical6 12 6" xfId="10391" xr:uid="{00000000-0005-0000-0000-00007C290000}"/>
    <cellStyle name="SAPBEXexcCritical6 13" xfId="10392" xr:uid="{00000000-0005-0000-0000-00007D290000}"/>
    <cellStyle name="SAPBEXexcCritical6 13 2" xfId="10393" xr:uid="{00000000-0005-0000-0000-00007E290000}"/>
    <cellStyle name="SAPBEXexcCritical6 13 2 2" xfId="10394" xr:uid="{00000000-0005-0000-0000-00007F290000}"/>
    <cellStyle name="SAPBEXexcCritical6 13 2 3" xfId="10395" xr:uid="{00000000-0005-0000-0000-000080290000}"/>
    <cellStyle name="SAPBEXexcCritical6 13 2 4" xfId="10396" xr:uid="{00000000-0005-0000-0000-000081290000}"/>
    <cellStyle name="SAPBEXexcCritical6 13 2 5" xfId="10397" xr:uid="{00000000-0005-0000-0000-000082290000}"/>
    <cellStyle name="SAPBEXexcCritical6 13 3" xfId="10398" xr:uid="{00000000-0005-0000-0000-000083290000}"/>
    <cellStyle name="SAPBEXexcCritical6 13 4" xfId="10399" xr:uid="{00000000-0005-0000-0000-000084290000}"/>
    <cellStyle name="SAPBEXexcCritical6 13 5" xfId="10400" xr:uid="{00000000-0005-0000-0000-000085290000}"/>
    <cellStyle name="SAPBEXexcCritical6 13 6" xfId="10401" xr:uid="{00000000-0005-0000-0000-000086290000}"/>
    <cellStyle name="SAPBEXexcCritical6 14" xfId="10402" xr:uid="{00000000-0005-0000-0000-000087290000}"/>
    <cellStyle name="SAPBEXexcCritical6 14 2" xfId="10403" xr:uid="{00000000-0005-0000-0000-000088290000}"/>
    <cellStyle name="SAPBEXexcCritical6 14 2 2" xfId="10404" xr:uid="{00000000-0005-0000-0000-000089290000}"/>
    <cellStyle name="SAPBEXexcCritical6 14 2 3" xfId="10405" xr:uid="{00000000-0005-0000-0000-00008A290000}"/>
    <cellStyle name="SAPBEXexcCritical6 14 2 4" xfId="10406" xr:uid="{00000000-0005-0000-0000-00008B290000}"/>
    <cellStyle name="SAPBEXexcCritical6 14 2 5" xfId="10407" xr:uid="{00000000-0005-0000-0000-00008C290000}"/>
    <cellStyle name="SAPBEXexcCritical6 14 3" xfId="10408" xr:uid="{00000000-0005-0000-0000-00008D290000}"/>
    <cellStyle name="SAPBEXexcCritical6 14 4" xfId="10409" xr:uid="{00000000-0005-0000-0000-00008E290000}"/>
    <cellStyle name="SAPBEXexcCritical6 14 5" xfId="10410" xr:uid="{00000000-0005-0000-0000-00008F290000}"/>
    <cellStyle name="SAPBEXexcCritical6 14 6" xfId="10411" xr:uid="{00000000-0005-0000-0000-000090290000}"/>
    <cellStyle name="SAPBEXexcCritical6 15" xfId="10412" xr:uid="{00000000-0005-0000-0000-000091290000}"/>
    <cellStyle name="SAPBEXexcCritical6 15 2" xfId="10413" xr:uid="{00000000-0005-0000-0000-000092290000}"/>
    <cellStyle name="SAPBEXexcCritical6 15 2 2" xfId="10414" xr:uid="{00000000-0005-0000-0000-000093290000}"/>
    <cellStyle name="SAPBEXexcCritical6 15 2 3" xfId="10415" xr:uid="{00000000-0005-0000-0000-000094290000}"/>
    <cellStyle name="SAPBEXexcCritical6 15 2 4" xfId="10416" xr:uid="{00000000-0005-0000-0000-000095290000}"/>
    <cellStyle name="SAPBEXexcCritical6 15 2 5" xfId="10417" xr:uid="{00000000-0005-0000-0000-000096290000}"/>
    <cellStyle name="SAPBEXexcCritical6 15 3" xfId="10418" xr:uid="{00000000-0005-0000-0000-000097290000}"/>
    <cellStyle name="SAPBEXexcCritical6 15 4" xfId="10419" xr:uid="{00000000-0005-0000-0000-000098290000}"/>
    <cellStyle name="SAPBEXexcCritical6 15 5" xfId="10420" xr:uid="{00000000-0005-0000-0000-000099290000}"/>
    <cellStyle name="SAPBEXexcCritical6 15 6" xfId="10421" xr:uid="{00000000-0005-0000-0000-00009A290000}"/>
    <cellStyle name="SAPBEXexcCritical6 16" xfId="10422" xr:uid="{00000000-0005-0000-0000-00009B290000}"/>
    <cellStyle name="SAPBEXexcCritical6 17" xfId="10423" xr:uid="{00000000-0005-0000-0000-00009C290000}"/>
    <cellStyle name="SAPBEXexcCritical6 18" xfId="10424" xr:uid="{00000000-0005-0000-0000-00009D290000}"/>
    <cellStyle name="SAPBEXexcCritical6 19" xfId="10425" xr:uid="{00000000-0005-0000-0000-00009E290000}"/>
    <cellStyle name="SAPBEXexcCritical6 2" xfId="10426" xr:uid="{00000000-0005-0000-0000-00009F290000}"/>
    <cellStyle name="SAPBEXexcCritical6 2 2" xfId="10427" xr:uid="{00000000-0005-0000-0000-0000A0290000}"/>
    <cellStyle name="SAPBEXexcCritical6 2 2 2" xfId="10428" xr:uid="{00000000-0005-0000-0000-0000A1290000}"/>
    <cellStyle name="SAPBEXexcCritical6 2 2 3" xfId="10429" xr:uid="{00000000-0005-0000-0000-0000A2290000}"/>
    <cellStyle name="SAPBEXexcCritical6 2 2 4" xfId="10430" xr:uid="{00000000-0005-0000-0000-0000A3290000}"/>
    <cellStyle name="SAPBEXexcCritical6 2 2 5" xfId="10431" xr:uid="{00000000-0005-0000-0000-0000A4290000}"/>
    <cellStyle name="SAPBEXexcCritical6 2 3" xfId="10432" xr:uid="{00000000-0005-0000-0000-0000A5290000}"/>
    <cellStyle name="SAPBEXexcCritical6 2 4" xfId="10433" xr:uid="{00000000-0005-0000-0000-0000A6290000}"/>
    <cellStyle name="SAPBEXexcCritical6 2 5" xfId="10434" xr:uid="{00000000-0005-0000-0000-0000A7290000}"/>
    <cellStyle name="SAPBEXexcCritical6 2 6" xfId="10435" xr:uid="{00000000-0005-0000-0000-0000A8290000}"/>
    <cellStyle name="SAPBEXexcCritical6 3" xfId="10436" xr:uid="{00000000-0005-0000-0000-0000A9290000}"/>
    <cellStyle name="SAPBEXexcCritical6 3 2" xfId="10437" xr:uid="{00000000-0005-0000-0000-0000AA290000}"/>
    <cellStyle name="SAPBEXexcCritical6 3 2 2" xfId="10438" xr:uid="{00000000-0005-0000-0000-0000AB290000}"/>
    <cellStyle name="SAPBEXexcCritical6 3 2 3" xfId="10439" xr:uid="{00000000-0005-0000-0000-0000AC290000}"/>
    <cellStyle name="SAPBEXexcCritical6 3 2 4" xfId="10440" xr:uid="{00000000-0005-0000-0000-0000AD290000}"/>
    <cellStyle name="SAPBEXexcCritical6 3 2 5" xfId="10441" xr:uid="{00000000-0005-0000-0000-0000AE290000}"/>
    <cellStyle name="SAPBEXexcCritical6 3 3" xfId="10442" xr:uid="{00000000-0005-0000-0000-0000AF290000}"/>
    <cellStyle name="SAPBEXexcCritical6 3 4" xfId="10443" xr:uid="{00000000-0005-0000-0000-0000B0290000}"/>
    <cellStyle name="SAPBEXexcCritical6 3 5" xfId="10444" xr:uid="{00000000-0005-0000-0000-0000B1290000}"/>
    <cellStyle name="SAPBEXexcCritical6 3 6" xfId="10445" xr:uid="{00000000-0005-0000-0000-0000B2290000}"/>
    <cellStyle name="SAPBEXexcCritical6 4" xfId="10446" xr:uid="{00000000-0005-0000-0000-0000B3290000}"/>
    <cellStyle name="SAPBEXexcCritical6 4 2" xfId="10447" xr:uid="{00000000-0005-0000-0000-0000B4290000}"/>
    <cellStyle name="SAPBEXexcCritical6 4 2 2" xfId="10448" xr:uid="{00000000-0005-0000-0000-0000B5290000}"/>
    <cellStyle name="SAPBEXexcCritical6 4 2 3" xfId="10449" xr:uid="{00000000-0005-0000-0000-0000B6290000}"/>
    <cellStyle name="SAPBEXexcCritical6 4 2 4" xfId="10450" xr:uid="{00000000-0005-0000-0000-0000B7290000}"/>
    <cellStyle name="SAPBEXexcCritical6 4 2 5" xfId="10451" xr:uid="{00000000-0005-0000-0000-0000B8290000}"/>
    <cellStyle name="SAPBEXexcCritical6 4 3" xfId="10452" xr:uid="{00000000-0005-0000-0000-0000B9290000}"/>
    <cellStyle name="SAPBEXexcCritical6 4 4" xfId="10453" xr:uid="{00000000-0005-0000-0000-0000BA290000}"/>
    <cellStyle name="SAPBEXexcCritical6 4 5" xfId="10454" xr:uid="{00000000-0005-0000-0000-0000BB290000}"/>
    <cellStyle name="SAPBEXexcCritical6 4 6" xfId="10455" xr:uid="{00000000-0005-0000-0000-0000BC290000}"/>
    <cellStyle name="SAPBEXexcCritical6 5" xfId="10456" xr:uid="{00000000-0005-0000-0000-0000BD290000}"/>
    <cellStyle name="SAPBEXexcCritical6 5 2" xfId="10457" xr:uid="{00000000-0005-0000-0000-0000BE290000}"/>
    <cellStyle name="SAPBEXexcCritical6 5 2 2" xfId="10458" xr:uid="{00000000-0005-0000-0000-0000BF290000}"/>
    <cellStyle name="SAPBEXexcCritical6 5 2 3" xfId="10459" xr:uid="{00000000-0005-0000-0000-0000C0290000}"/>
    <cellStyle name="SAPBEXexcCritical6 5 2 4" xfId="10460" xr:uid="{00000000-0005-0000-0000-0000C1290000}"/>
    <cellStyle name="SAPBEXexcCritical6 5 2 5" xfId="10461" xr:uid="{00000000-0005-0000-0000-0000C2290000}"/>
    <cellStyle name="SAPBEXexcCritical6 5 3" xfId="10462" xr:uid="{00000000-0005-0000-0000-0000C3290000}"/>
    <cellStyle name="SAPBEXexcCritical6 5 4" xfId="10463" xr:uid="{00000000-0005-0000-0000-0000C4290000}"/>
    <cellStyle name="SAPBEXexcCritical6 5 5" xfId="10464" xr:uid="{00000000-0005-0000-0000-0000C5290000}"/>
    <cellStyle name="SAPBEXexcCritical6 5 6" xfId="10465" xr:uid="{00000000-0005-0000-0000-0000C6290000}"/>
    <cellStyle name="SAPBEXexcCritical6 6" xfId="10466" xr:uid="{00000000-0005-0000-0000-0000C7290000}"/>
    <cellStyle name="SAPBEXexcCritical6 6 2" xfId="10467" xr:uid="{00000000-0005-0000-0000-0000C8290000}"/>
    <cellStyle name="SAPBEXexcCritical6 6 2 2" xfId="10468" xr:uid="{00000000-0005-0000-0000-0000C9290000}"/>
    <cellStyle name="SAPBEXexcCritical6 6 2 3" xfId="10469" xr:uid="{00000000-0005-0000-0000-0000CA290000}"/>
    <cellStyle name="SAPBEXexcCritical6 6 2 4" xfId="10470" xr:uid="{00000000-0005-0000-0000-0000CB290000}"/>
    <cellStyle name="SAPBEXexcCritical6 6 2 5" xfId="10471" xr:uid="{00000000-0005-0000-0000-0000CC290000}"/>
    <cellStyle name="SAPBEXexcCritical6 6 3" xfId="10472" xr:uid="{00000000-0005-0000-0000-0000CD290000}"/>
    <cellStyle name="SAPBEXexcCritical6 6 4" xfId="10473" xr:uid="{00000000-0005-0000-0000-0000CE290000}"/>
    <cellStyle name="SAPBEXexcCritical6 6 5" xfId="10474" xr:uid="{00000000-0005-0000-0000-0000CF290000}"/>
    <cellStyle name="SAPBEXexcCritical6 6 6" xfId="10475" xr:uid="{00000000-0005-0000-0000-0000D0290000}"/>
    <cellStyle name="SAPBEXexcCritical6 7" xfId="10476" xr:uid="{00000000-0005-0000-0000-0000D1290000}"/>
    <cellStyle name="SAPBEXexcCritical6 7 2" xfId="10477" xr:uid="{00000000-0005-0000-0000-0000D2290000}"/>
    <cellStyle name="SAPBEXexcCritical6 7 2 2" xfId="10478" xr:uid="{00000000-0005-0000-0000-0000D3290000}"/>
    <cellStyle name="SAPBEXexcCritical6 7 2 3" xfId="10479" xr:uid="{00000000-0005-0000-0000-0000D4290000}"/>
    <cellStyle name="SAPBEXexcCritical6 7 2 4" xfId="10480" xr:uid="{00000000-0005-0000-0000-0000D5290000}"/>
    <cellStyle name="SAPBEXexcCritical6 7 2 5" xfId="10481" xr:uid="{00000000-0005-0000-0000-0000D6290000}"/>
    <cellStyle name="SAPBEXexcCritical6 7 3" xfId="10482" xr:uid="{00000000-0005-0000-0000-0000D7290000}"/>
    <cellStyle name="SAPBEXexcCritical6 7 4" xfId="10483" xr:uid="{00000000-0005-0000-0000-0000D8290000}"/>
    <cellStyle name="SAPBEXexcCritical6 7 5" xfId="10484" xr:uid="{00000000-0005-0000-0000-0000D9290000}"/>
    <cellStyle name="SAPBEXexcCritical6 7 6" xfId="10485" xr:uid="{00000000-0005-0000-0000-0000DA290000}"/>
    <cellStyle name="SAPBEXexcCritical6 8" xfId="10486" xr:uid="{00000000-0005-0000-0000-0000DB290000}"/>
    <cellStyle name="SAPBEXexcCritical6 8 2" xfId="10487" xr:uid="{00000000-0005-0000-0000-0000DC290000}"/>
    <cellStyle name="SAPBEXexcCritical6 8 2 2" xfId="10488" xr:uid="{00000000-0005-0000-0000-0000DD290000}"/>
    <cellStyle name="SAPBEXexcCritical6 8 2 3" xfId="10489" xr:uid="{00000000-0005-0000-0000-0000DE290000}"/>
    <cellStyle name="SAPBEXexcCritical6 8 2 4" xfId="10490" xr:uid="{00000000-0005-0000-0000-0000DF290000}"/>
    <cellStyle name="SAPBEXexcCritical6 8 2 5" xfId="10491" xr:uid="{00000000-0005-0000-0000-0000E0290000}"/>
    <cellStyle name="SAPBEXexcCritical6 8 3" xfId="10492" xr:uid="{00000000-0005-0000-0000-0000E1290000}"/>
    <cellStyle name="SAPBEXexcCritical6 8 4" xfId="10493" xr:uid="{00000000-0005-0000-0000-0000E2290000}"/>
    <cellStyle name="SAPBEXexcCritical6 8 5" xfId="10494" xr:uid="{00000000-0005-0000-0000-0000E3290000}"/>
    <cellStyle name="SAPBEXexcCritical6 8 6" xfId="10495" xr:uid="{00000000-0005-0000-0000-0000E4290000}"/>
    <cellStyle name="SAPBEXexcCritical6 9" xfId="10496" xr:uid="{00000000-0005-0000-0000-0000E5290000}"/>
    <cellStyle name="SAPBEXexcCritical6 9 2" xfId="10497" xr:uid="{00000000-0005-0000-0000-0000E6290000}"/>
    <cellStyle name="SAPBEXexcCritical6 9 2 2" xfId="10498" xr:uid="{00000000-0005-0000-0000-0000E7290000}"/>
    <cellStyle name="SAPBEXexcCritical6 9 2 3" xfId="10499" xr:uid="{00000000-0005-0000-0000-0000E8290000}"/>
    <cellStyle name="SAPBEXexcCritical6 9 2 4" xfId="10500" xr:uid="{00000000-0005-0000-0000-0000E9290000}"/>
    <cellStyle name="SAPBEXexcCritical6 9 2 5" xfId="10501" xr:uid="{00000000-0005-0000-0000-0000EA290000}"/>
    <cellStyle name="SAPBEXexcCritical6 9 3" xfId="10502" xr:uid="{00000000-0005-0000-0000-0000EB290000}"/>
    <cellStyle name="SAPBEXexcCritical6 9 4" xfId="10503" xr:uid="{00000000-0005-0000-0000-0000EC290000}"/>
    <cellStyle name="SAPBEXexcCritical6 9 5" xfId="10504" xr:uid="{00000000-0005-0000-0000-0000ED290000}"/>
    <cellStyle name="SAPBEXexcCritical6 9 6" xfId="10505" xr:uid="{00000000-0005-0000-0000-0000EE290000}"/>
    <cellStyle name="SAPBEXexcCritical6_KTR An-Abflug" xfId="14891" xr:uid="{00000000-0005-0000-0000-0000EF290000}"/>
    <cellStyle name="SAPBEXexcGood1" xfId="10506" xr:uid="{00000000-0005-0000-0000-0000F0290000}"/>
    <cellStyle name="SAPBEXexcGood1 10" xfId="10507" xr:uid="{00000000-0005-0000-0000-0000F1290000}"/>
    <cellStyle name="SAPBEXexcGood1 10 2" xfId="10508" xr:uid="{00000000-0005-0000-0000-0000F2290000}"/>
    <cellStyle name="SAPBEXexcGood1 10 2 2" xfId="10509" xr:uid="{00000000-0005-0000-0000-0000F3290000}"/>
    <cellStyle name="SAPBEXexcGood1 10 2 3" xfId="10510" xr:uid="{00000000-0005-0000-0000-0000F4290000}"/>
    <cellStyle name="SAPBEXexcGood1 10 2 4" xfId="10511" xr:uid="{00000000-0005-0000-0000-0000F5290000}"/>
    <cellStyle name="SAPBEXexcGood1 10 2 5" xfId="10512" xr:uid="{00000000-0005-0000-0000-0000F6290000}"/>
    <cellStyle name="SAPBEXexcGood1 10 3" xfId="10513" xr:uid="{00000000-0005-0000-0000-0000F7290000}"/>
    <cellStyle name="SAPBEXexcGood1 10 4" xfId="10514" xr:uid="{00000000-0005-0000-0000-0000F8290000}"/>
    <cellStyle name="SAPBEXexcGood1 10 5" xfId="10515" xr:uid="{00000000-0005-0000-0000-0000F9290000}"/>
    <cellStyle name="SAPBEXexcGood1 10 6" xfId="10516" xr:uid="{00000000-0005-0000-0000-0000FA290000}"/>
    <cellStyle name="SAPBEXexcGood1 11" xfId="10517" xr:uid="{00000000-0005-0000-0000-0000FB290000}"/>
    <cellStyle name="SAPBEXexcGood1 11 2" xfId="10518" xr:uid="{00000000-0005-0000-0000-0000FC290000}"/>
    <cellStyle name="SAPBEXexcGood1 11 2 2" xfId="10519" xr:uid="{00000000-0005-0000-0000-0000FD290000}"/>
    <cellStyle name="SAPBEXexcGood1 11 2 3" xfId="10520" xr:uid="{00000000-0005-0000-0000-0000FE290000}"/>
    <cellStyle name="SAPBEXexcGood1 11 2 4" xfId="10521" xr:uid="{00000000-0005-0000-0000-0000FF290000}"/>
    <cellStyle name="SAPBEXexcGood1 11 2 5" xfId="10522" xr:uid="{00000000-0005-0000-0000-0000002A0000}"/>
    <cellStyle name="SAPBEXexcGood1 11 3" xfId="10523" xr:uid="{00000000-0005-0000-0000-0000012A0000}"/>
    <cellStyle name="SAPBEXexcGood1 11 4" xfId="10524" xr:uid="{00000000-0005-0000-0000-0000022A0000}"/>
    <cellStyle name="SAPBEXexcGood1 11 5" xfId="10525" xr:uid="{00000000-0005-0000-0000-0000032A0000}"/>
    <cellStyle name="SAPBEXexcGood1 11 6" xfId="10526" xr:uid="{00000000-0005-0000-0000-0000042A0000}"/>
    <cellStyle name="SAPBEXexcGood1 12" xfId="10527" xr:uid="{00000000-0005-0000-0000-0000052A0000}"/>
    <cellStyle name="SAPBEXexcGood1 12 2" xfId="10528" xr:uid="{00000000-0005-0000-0000-0000062A0000}"/>
    <cellStyle name="SAPBEXexcGood1 12 2 2" xfId="10529" xr:uid="{00000000-0005-0000-0000-0000072A0000}"/>
    <cellStyle name="SAPBEXexcGood1 12 2 3" xfId="10530" xr:uid="{00000000-0005-0000-0000-0000082A0000}"/>
    <cellStyle name="SAPBEXexcGood1 12 2 4" xfId="10531" xr:uid="{00000000-0005-0000-0000-0000092A0000}"/>
    <cellStyle name="SAPBEXexcGood1 12 2 5" xfId="10532" xr:uid="{00000000-0005-0000-0000-00000A2A0000}"/>
    <cellStyle name="SAPBEXexcGood1 12 3" xfId="10533" xr:uid="{00000000-0005-0000-0000-00000B2A0000}"/>
    <cellStyle name="SAPBEXexcGood1 12 4" xfId="10534" xr:uid="{00000000-0005-0000-0000-00000C2A0000}"/>
    <cellStyle name="SAPBEXexcGood1 12 5" xfId="10535" xr:uid="{00000000-0005-0000-0000-00000D2A0000}"/>
    <cellStyle name="SAPBEXexcGood1 12 6" xfId="10536" xr:uid="{00000000-0005-0000-0000-00000E2A0000}"/>
    <cellStyle name="SAPBEXexcGood1 13" xfId="10537" xr:uid="{00000000-0005-0000-0000-00000F2A0000}"/>
    <cellStyle name="SAPBEXexcGood1 13 2" xfId="10538" xr:uid="{00000000-0005-0000-0000-0000102A0000}"/>
    <cellStyle name="SAPBEXexcGood1 13 2 2" xfId="10539" xr:uid="{00000000-0005-0000-0000-0000112A0000}"/>
    <cellStyle name="SAPBEXexcGood1 13 2 3" xfId="10540" xr:uid="{00000000-0005-0000-0000-0000122A0000}"/>
    <cellStyle name="SAPBEXexcGood1 13 2 4" xfId="10541" xr:uid="{00000000-0005-0000-0000-0000132A0000}"/>
    <cellStyle name="SAPBEXexcGood1 13 2 5" xfId="10542" xr:uid="{00000000-0005-0000-0000-0000142A0000}"/>
    <cellStyle name="SAPBEXexcGood1 13 3" xfId="10543" xr:uid="{00000000-0005-0000-0000-0000152A0000}"/>
    <cellStyle name="SAPBEXexcGood1 13 4" xfId="10544" xr:uid="{00000000-0005-0000-0000-0000162A0000}"/>
    <cellStyle name="SAPBEXexcGood1 13 5" xfId="10545" xr:uid="{00000000-0005-0000-0000-0000172A0000}"/>
    <cellStyle name="SAPBEXexcGood1 13 6" xfId="10546" xr:uid="{00000000-0005-0000-0000-0000182A0000}"/>
    <cellStyle name="SAPBEXexcGood1 14" xfId="10547" xr:uid="{00000000-0005-0000-0000-0000192A0000}"/>
    <cellStyle name="SAPBEXexcGood1 14 2" xfId="10548" xr:uid="{00000000-0005-0000-0000-00001A2A0000}"/>
    <cellStyle name="SAPBEXexcGood1 14 2 2" xfId="10549" xr:uid="{00000000-0005-0000-0000-00001B2A0000}"/>
    <cellStyle name="SAPBEXexcGood1 14 2 3" xfId="10550" xr:uid="{00000000-0005-0000-0000-00001C2A0000}"/>
    <cellStyle name="SAPBEXexcGood1 14 2 4" xfId="10551" xr:uid="{00000000-0005-0000-0000-00001D2A0000}"/>
    <cellStyle name="SAPBEXexcGood1 14 2 5" xfId="10552" xr:uid="{00000000-0005-0000-0000-00001E2A0000}"/>
    <cellStyle name="SAPBEXexcGood1 14 3" xfId="10553" xr:uid="{00000000-0005-0000-0000-00001F2A0000}"/>
    <cellStyle name="SAPBEXexcGood1 14 4" xfId="10554" xr:uid="{00000000-0005-0000-0000-0000202A0000}"/>
    <cellStyle name="SAPBEXexcGood1 14 5" xfId="10555" xr:uid="{00000000-0005-0000-0000-0000212A0000}"/>
    <cellStyle name="SAPBEXexcGood1 14 6" xfId="10556" xr:uid="{00000000-0005-0000-0000-0000222A0000}"/>
    <cellStyle name="SAPBEXexcGood1 15" xfId="10557" xr:uid="{00000000-0005-0000-0000-0000232A0000}"/>
    <cellStyle name="SAPBEXexcGood1 15 2" xfId="10558" xr:uid="{00000000-0005-0000-0000-0000242A0000}"/>
    <cellStyle name="SAPBEXexcGood1 15 2 2" xfId="10559" xr:uid="{00000000-0005-0000-0000-0000252A0000}"/>
    <cellStyle name="SAPBEXexcGood1 15 2 3" xfId="10560" xr:uid="{00000000-0005-0000-0000-0000262A0000}"/>
    <cellStyle name="SAPBEXexcGood1 15 2 4" xfId="10561" xr:uid="{00000000-0005-0000-0000-0000272A0000}"/>
    <cellStyle name="SAPBEXexcGood1 15 2 5" xfId="10562" xr:uid="{00000000-0005-0000-0000-0000282A0000}"/>
    <cellStyle name="SAPBEXexcGood1 15 3" xfId="10563" xr:uid="{00000000-0005-0000-0000-0000292A0000}"/>
    <cellStyle name="SAPBEXexcGood1 15 4" xfId="10564" xr:uid="{00000000-0005-0000-0000-00002A2A0000}"/>
    <cellStyle name="SAPBEXexcGood1 15 5" xfId="10565" xr:uid="{00000000-0005-0000-0000-00002B2A0000}"/>
    <cellStyle name="SAPBEXexcGood1 15 6" xfId="10566" xr:uid="{00000000-0005-0000-0000-00002C2A0000}"/>
    <cellStyle name="SAPBEXexcGood1 16" xfId="10567" xr:uid="{00000000-0005-0000-0000-00002D2A0000}"/>
    <cellStyle name="SAPBEXexcGood1 17" xfId="10568" xr:uid="{00000000-0005-0000-0000-00002E2A0000}"/>
    <cellStyle name="SAPBEXexcGood1 18" xfId="10569" xr:uid="{00000000-0005-0000-0000-00002F2A0000}"/>
    <cellStyle name="SAPBEXexcGood1 19" xfId="10570" xr:uid="{00000000-0005-0000-0000-0000302A0000}"/>
    <cellStyle name="SAPBEXexcGood1 2" xfId="10571" xr:uid="{00000000-0005-0000-0000-0000312A0000}"/>
    <cellStyle name="SAPBEXexcGood1 2 2" xfId="10572" xr:uid="{00000000-0005-0000-0000-0000322A0000}"/>
    <cellStyle name="SAPBEXexcGood1 2 2 2" xfId="10573" xr:uid="{00000000-0005-0000-0000-0000332A0000}"/>
    <cellStyle name="SAPBEXexcGood1 2 2 3" xfId="10574" xr:uid="{00000000-0005-0000-0000-0000342A0000}"/>
    <cellStyle name="SAPBEXexcGood1 2 2 4" xfId="10575" xr:uid="{00000000-0005-0000-0000-0000352A0000}"/>
    <cellStyle name="SAPBEXexcGood1 2 2 5" xfId="10576" xr:uid="{00000000-0005-0000-0000-0000362A0000}"/>
    <cellStyle name="SAPBEXexcGood1 2 3" xfId="10577" xr:uid="{00000000-0005-0000-0000-0000372A0000}"/>
    <cellStyle name="SAPBEXexcGood1 2 4" xfId="10578" xr:uid="{00000000-0005-0000-0000-0000382A0000}"/>
    <cellStyle name="SAPBEXexcGood1 2 5" xfId="10579" xr:uid="{00000000-0005-0000-0000-0000392A0000}"/>
    <cellStyle name="SAPBEXexcGood1 2 6" xfId="10580" xr:uid="{00000000-0005-0000-0000-00003A2A0000}"/>
    <cellStyle name="SAPBEXexcGood1 3" xfId="10581" xr:uid="{00000000-0005-0000-0000-00003B2A0000}"/>
    <cellStyle name="SAPBEXexcGood1 3 2" xfId="10582" xr:uid="{00000000-0005-0000-0000-00003C2A0000}"/>
    <cellStyle name="SAPBEXexcGood1 3 2 2" xfId="10583" xr:uid="{00000000-0005-0000-0000-00003D2A0000}"/>
    <cellStyle name="SAPBEXexcGood1 3 2 3" xfId="10584" xr:uid="{00000000-0005-0000-0000-00003E2A0000}"/>
    <cellStyle name="SAPBEXexcGood1 3 2 4" xfId="10585" xr:uid="{00000000-0005-0000-0000-00003F2A0000}"/>
    <cellStyle name="SAPBEXexcGood1 3 2 5" xfId="10586" xr:uid="{00000000-0005-0000-0000-0000402A0000}"/>
    <cellStyle name="SAPBEXexcGood1 3 3" xfId="10587" xr:uid="{00000000-0005-0000-0000-0000412A0000}"/>
    <cellStyle name="SAPBEXexcGood1 3 4" xfId="10588" xr:uid="{00000000-0005-0000-0000-0000422A0000}"/>
    <cellStyle name="SAPBEXexcGood1 3 5" xfId="10589" xr:uid="{00000000-0005-0000-0000-0000432A0000}"/>
    <cellStyle name="SAPBEXexcGood1 3 6" xfId="10590" xr:uid="{00000000-0005-0000-0000-0000442A0000}"/>
    <cellStyle name="SAPBEXexcGood1 4" xfId="10591" xr:uid="{00000000-0005-0000-0000-0000452A0000}"/>
    <cellStyle name="SAPBEXexcGood1 4 2" xfId="10592" xr:uid="{00000000-0005-0000-0000-0000462A0000}"/>
    <cellStyle name="SAPBEXexcGood1 4 2 2" xfId="10593" xr:uid="{00000000-0005-0000-0000-0000472A0000}"/>
    <cellStyle name="SAPBEXexcGood1 4 2 3" xfId="10594" xr:uid="{00000000-0005-0000-0000-0000482A0000}"/>
    <cellStyle name="SAPBEXexcGood1 4 2 4" xfId="10595" xr:uid="{00000000-0005-0000-0000-0000492A0000}"/>
    <cellStyle name="SAPBEXexcGood1 4 2 5" xfId="10596" xr:uid="{00000000-0005-0000-0000-00004A2A0000}"/>
    <cellStyle name="SAPBEXexcGood1 4 3" xfId="10597" xr:uid="{00000000-0005-0000-0000-00004B2A0000}"/>
    <cellStyle name="SAPBEXexcGood1 4 4" xfId="10598" xr:uid="{00000000-0005-0000-0000-00004C2A0000}"/>
    <cellStyle name="SAPBEXexcGood1 4 5" xfId="10599" xr:uid="{00000000-0005-0000-0000-00004D2A0000}"/>
    <cellStyle name="SAPBEXexcGood1 4 6" xfId="10600" xr:uid="{00000000-0005-0000-0000-00004E2A0000}"/>
    <cellStyle name="SAPBEXexcGood1 5" xfId="10601" xr:uid="{00000000-0005-0000-0000-00004F2A0000}"/>
    <cellStyle name="SAPBEXexcGood1 5 2" xfId="10602" xr:uid="{00000000-0005-0000-0000-0000502A0000}"/>
    <cellStyle name="SAPBEXexcGood1 5 2 2" xfId="10603" xr:uid="{00000000-0005-0000-0000-0000512A0000}"/>
    <cellStyle name="SAPBEXexcGood1 5 2 3" xfId="10604" xr:uid="{00000000-0005-0000-0000-0000522A0000}"/>
    <cellStyle name="SAPBEXexcGood1 5 2 4" xfId="10605" xr:uid="{00000000-0005-0000-0000-0000532A0000}"/>
    <cellStyle name="SAPBEXexcGood1 5 2 5" xfId="10606" xr:uid="{00000000-0005-0000-0000-0000542A0000}"/>
    <cellStyle name="SAPBEXexcGood1 5 3" xfId="10607" xr:uid="{00000000-0005-0000-0000-0000552A0000}"/>
    <cellStyle name="SAPBEXexcGood1 5 4" xfId="10608" xr:uid="{00000000-0005-0000-0000-0000562A0000}"/>
    <cellStyle name="SAPBEXexcGood1 5 5" xfId="10609" xr:uid="{00000000-0005-0000-0000-0000572A0000}"/>
    <cellStyle name="SAPBEXexcGood1 5 6" xfId="10610" xr:uid="{00000000-0005-0000-0000-0000582A0000}"/>
    <cellStyle name="SAPBEXexcGood1 6" xfId="10611" xr:uid="{00000000-0005-0000-0000-0000592A0000}"/>
    <cellStyle name="SAPBEXexcGood1 6 2" xfId="10612" xr:uid="{00000000-0005-0000-0000-00005A2A0000}"/>
    <cellStyle name="SAPBEXexcGood1 6 2 2" xfId="10613" xr:uid="{00000000-0005-0000-0000-00005B2A0000}"/>
    <cellStyle name="SAPBEXexcGood1 6 2 3" xfId="10614" xr:uid="{00000000-0005-0000-0000-00005C2A0000}"/>
    <cellStyle name="SAPBEXexcGood1 6 2 4" xfId="10615" xr:uid="{00000000-0005-0000-0000-00005D2A0000}"/>
    <cellStyle name="SAPBEXexcGood1 6 2 5" xfId="10616" xr:uid="{00000000-0005-0000-0000-00005E2A0000}"/>
    <cellStyle name="SAPBEXexcGood1 6 3" xfId="10617" xr:uid="{00000000-0005-0000-0000-00005F2A0000}"/>
    <cellStyle name="SAPBEXexcGood1 6 4" xfId="10618" xr:uid="{00000000-0005-0000-0000-0000602A0000}"/>
    <cellStyle name="SAPBEXexcGood1 6 5" xfId="10619" xr:uid="{00000000-0005-0000-0000-0000612A0000}"/>
    <cellStyle name="SAPBEXexcGood1 6 6" xfId="10620" xr:uid="{00000000-0005-0000-0000-0000622A0000}"/>
    <cellStyle name="SAPBEXexcGood1 7" xfId="10621" xr:uid="{00000000-0005-0000-0000-0000632A0000}"/>
    <cellStyle name="SAPBEXexcGood1 7 2" xfId="10622" xr:uid="{00000000-0005-0000-0000-0000642A0000}"/>
    <cellStyle name="SAPBEXexcGood1 7 2 2" xfId="10623" xr:uid="{00000000-0005-0000-0000-0000652A0000}"/>
    <cellStyle name="SAPBEXexcGood1 7 2 3" xfId="10624" xr:uid="{00000000-0005-0000-0000-0000662A0000}"/>
    <cellStyle name="SAPBEXexcGood1 7 2 4" xfId="10625" xr:uid="{00000000-0005-0000-0000-0000672A0000}"/>
    <cellStyle name="SAPBEXexcGood1 7 2 5" xfId="10626" xr:uid="{00000000-0005-0000-0000-0000682A0000}"/>
    <cellStyle name="SAPBEXexcGood1 7 3" xfId="10627" xr:uid="{00000000-0005-0000-0000-0000692A0000}"/>
    <cellStyle name="SAPBEXexcGood1 7 4" xfId="10628" xr:uid="{00000000-0005-0000-0000-00006A2A0000}"/>
    <cellStyle name="SAPBEXexcGood1 7 5" xfId="10629" xr:uid="{00000000-0005-0000-0000-00006B2A0000}"/>
    <cellStyle name="SAPBEXexcGood1 7 6" xfId="10630" xr:uid="{00000000-0005-0000-0000-00006C2A0000}"/>
    <cellStyle name="SAPBEXexcGood1 8" xfId="10631" xr:uid="{00000000-0005-0000-0000-00006D2A0000}"/>
    <cellStyle name="SAPBEXexcGood1 8 2" xfId="10632" xr:uid="{00000000-0005-0000-0000-00006E2A0000}"/>
    <cellStyle name="SAPBEXexcGood1 8 2 2" xfId="10633" xr:uid="{00000000-0005-0000-0000-00006F2A0000}"/>
    <cellStyle name="SAPBEXexcGood1 8 2 3" xfId="10634" xr:uid="{00000000-0005-0000-0000-0000702A0000}"/>
    <cellStyle name="SAPBEXexcGood1 8 2 4" xfId="10635" xr:uid="{00000000-0005-0000-0000-0000712A0000}"/>
    <cellStyle name="SAPBEXexcGood1 8 2 5" xfId="10636" xr:uid="{00000000-0005-0000-0000-0000722A0000}"/>
    <cellStyle name="SAPBEXexcGood1 8 3" xfId="10637" xr:uid="{00000000-0005-0000-0000-0000732A0000}"/>
    <cellStyle name="SAPBEXexcGood1 8 4" xfId="10638" xr:uid="{00000000-0005-0000-0000-0000742A0000}"/>
    <cellStyle name="SAPBEXexcGood1 8 5" xfId="10639" xr:uid="{00000000-0005-0000-0000-0000752A0000}"/>
    <cellStyle name="SAPBEXexcGood1 8 6" xfId="10640" xr:uid="{00000000-0005-0000-0000-0000762A0000}"/>
    <cellStyle name="SAPBEXexcGood1 9" xfId="10641" xr:uid="{00000000-0005-0000-0000-0000772A0000}"/>
    <cellStyle name="SAPBEXexcGood1 9 2" xfId="10642" xr:uid="{00000000-0005-0000-0000-0000782A0000}"/>
    <cellStyle name="SAPBEXexcGood1 9 2 2" xfId="10643" xr:uid="{00000000-0005-0000-0000-0000792A0000}"/>
    <cellStyle name="SAPBEXexcGood1 9 2 3" xfId="10644" xr:uid="{00000000-0005-0000-0000-00007A2A0000}"/>
    <cellStyle name="SAPBEXexcGood1 9 2 4" xfId="10645" xr:uid="{00000000-0005-0000-0000-00007B2A0000}"/>
    <cellStyle name="SAPBEXexcGood1 9 2 5" xfId="10646" xr:uid="{00000000-0005-0000-0000-00007C2A0000}"/>
    <cellStyle name="SAPBEXexcGood1 9 3" xfId="10647" xr:uid="{00000000-0005-0000-0000-00007D2A0000}"/>
    <cellStyle name="SAPBEXexcGood1 9 4" xfId="10648" xr:uid="{00000000-0005-0000-0000-00007E2A0000}"/>
    <cellStyle name="SAPBEXexcGood1 9 5" xfId="10649" xr:uid="{00000000-0005-0000-0000-00007F2A0000}"/>
    <cellStyle name="SAPBEXexcGood1 9 6" xfId="10650" xr:uid="{00000000-0005-0000-0000-0000802A0000}"/>
    <cellStyle name="SAPBEXexcGood1_KTR An-Abflug" xfId="14839" xr:uid="{00000000-0005-0000-0000-0000812A0000}"/>
    <cellStyle name="SAPBEXexcGood2" xfId="10651" xr:uid="{00000000-0005-0000-0000-0000822A0000}"/>
    <cellStyle name="SAPBEXexcGood2 10" xfId="10652" xr:uid="{00000000-0005-0000-0000-0000832A0000}"/>
    <cellStyle name="SAPBEXexcGood2 10 2" xfId="10653" xr:uid="{00000000-0005-0000-0000-0000842A0000}"/>
    <cellStyle name="SAPBEXexcGood2 10 2 2" xfId="10654" xr:uid="{00000000-0005-0000-0000-0000852A0000}"/>
    <cellStyle name="SAPBEXexcGood2 10 2 3" xfId="10655" xr:uid="{00000000-0005-0000-0000-0000862A0000}"/>
    <cellStyle name="SAPBEXexcGood2 10 2 4" xfId="10656" xr:uid="{00000000-0005-0000-0000-0000872A0000}"/>
    <cellStyle name="SAPBEXexcGood2 10 2 5" xfId="10657" xr:uid="{00000000-0005-0000-0000-0000882A0000}"/>
    <cellStyle name="SAPBEXexcGood2 10 3" xfId="10658" xr:uid="{00000000-0005-0000-0000-0000892A0000}"/>
    <cellStyle name="SAPBEXexcGood2 10 4" xfId="10659" xr:uid="{00000000-0005-0000-0000-00008A2A0000}"/>
    <cellStyle name="SAPBEXexcGood2 10 5" xfId="10660" xr:uid="{00000000-0005-0000-0000-00008B2A0000}"/>
    <cellStyle name="SAPBEXexcGood2 10 6" xfId="10661" xr:uid="{00000000-0005-0000-0000-00008C2A0000}"/>
    <cellStyle name="SAPBEXexcGood2 11" xfId="10662" xr:uid="{00000000-0005-0000-0000-00008D2A0000}"/>
    <cellStyle name="SAPBEXexcGood2 11 2" xfId="10663" xr:uid="{00000000-0005-0000-0000-00008E2A0000}"/>
    <cellStyle name="SAPBEXexcGood2 11 2 2" xfId="10664" xr:uid="{00000000-0005-0000-0000-00008F2A0000}"/>
    <cellStyle name="SAPBEXexcGood2 11 2 3" xfId="10665" xr:uid="{00000000-0005-0000-0000-0000902A0000}"/>
    <cellStyle name="SAPBEXexcGood2 11 2 4" xfId="10666" xr:uid="{00000000-0005-0000-0000-0000912A0000}"/>
    <cellStyle name="SAPBEXexcGood2 11 2 5" xfId="10667" xr:uid="{00000000-0005-0000-0000-0000922A0000}"/>
    <cellStyle name="SAPBEXexcGood2 11 3" xfId="10668" xr:uid="{00000000-0005-0000-0000-0000932A0000}"/>
    <cellStyle name="SAPBEXexcGood2 11 4" xfId="10669" xr:uid="{00000000-0005-0000-0000-0000942A0000}"/>
    <cellStyle name="SAPBEXexcGood2 11 5" xfId="10670" xr:uid="{00000000-0005-0000-0000-0000952A0000}"/>
    <cellStyle name="SAPBEXexcGood2 11 6" xfId="10671" xr:uid="{00000000-0005-0000-0000-0000962A0000}"/>
    <cellStyle name="SAPBEXexcGood2 12" xfId="10672" xr:uid="{00000000-0005-0000-0000-0000972A0000}"/>
    <cellStyle name="SAPBEXexcGood2 12 2" xfId="10673" xr:uid="{00000000-0005-0000-0000-0000982A0000}"/>
    <cellStyle name="SAPBEXexcGood2 12 2 2" xfId="10674" xr:uid="{00000000-0005-0000-0000-0000992A0000}"/>
    <cellStyle name="SAPBEXexcGood2 12 2 3" xfId="10675" xr:uid="{00000000-0005-0000-0000-00009A2A0000}"/>
    <cellStyle name="SAPBEXexcGood2 12 2 4" xfId="10676" xr:uid="{00000000-0005-0000-0000-00009B2A0000}"/>
    <cellStyle name="SAPBEXexcGood2 12 2 5" xfId="10677" xr:uid="{00000000-0005-0000-0000-00009C2A0000}"/>
    <cellStyle name="SAPBEXexcGood2 12 3" xfId="10678" xr:uid="{00000000-0005-0000-0000-00009D2A0000}"/>
    <cellStyle name="SAPBEXexcGood2 12 4" xfId="10679" xr:uid="{00000000-0005-0000-0000-00009E2A0000}"/>
    <cellStyle name="SAPBEXexcGood2 12 5" xfId="10680" xr:uid="{00000000-0005-0000-0000-00009F2A0000}"/>
    <cellStyle name="SAPBEXexcGood2 12 6" xfId="10681" xr:uid="{00000000-0005-0000-0000-0000A02A0000}"/>
    <cellStyle name="SAPBEXexcGood2 13" xfId="10682" xr:uid="{00000000-0005-0000-0000-0000A12A0000}"/>
    <cellStyle name="SAPBEXexcGood2 13 2" xfId="10683" xr:uid="{00000000-0005-0000-0000-0000A22A0000}"/>
    <cellStyle name="SAPBEXexcGood2 13 2 2" xfId="10684" xr:uid="{00000000-0005-0000-0000-0000A32A0000}"/>
    <cellStyle name="SAPBEXexcGood2 13 2 3" xfId="10685" xr:uid="{00000000-0005-0000-0000-0000A42A0000}"/>
    <cellStyle name="SAPBEXexcGood2 13 2 4" xfId="10686" xr:uid="{00000000-0005-0000-0000-0000A52A0000}"/>
    <cellStyle name="SAPBEXexcGood2 13 2 5" xfId="10687" xr:uid="{00000000-0005-0000-0000-0000A62A0000}"/>
    <cellStyle name="SAPBEXexcGood2 13 3" xfId="10688" xr:uid="{00000000-0005-0000-0000-0000A72A0000}"/>
    <cellStyle name="SAPBEXexcGood2 13 4" xfId="10689" xr:uid="{00000000-0005-0000-0000-0000A82A0000}"/>
    <cellStyle name="SAPBEXexcGood2 13 5" xfId="10690" xr:uid="{00000000-0005-0000-0000-0000A92A0000}"/>
    <cellStyle name="SAPBEXexcGood2 13 6" xfId="10691" xr:uid="{00000000-0005-0000-0000-0000AA2A0000}"/>
    <cellStyle name="SAPBEXexcGood2 14" xfId="10692" xr:uid="{00000000-0005-0000-0000-0000AB2A0000}"/>
    <cellStyle name="SAPBEXexcGood2 14 2" xfId="10693" xr:uid="{00000000-0005-0000-0000-0000AC2A0000}"/>
    <cellStyle name="SAPBEXexcGood2 14 2 2" xfId="10694" xr:uid="{00000000-0005-0000-0000-0000AD2A0000}"/>
    <cellStyle name="SAPBEXexcGood2 14 2 3" xfId="10695" xr:uid="{00000000-0005-0000-0000-0000AE2A0000}"/>
    <cellStyle name="SAPBEXexcGood2 14 2 4" xfId="10696" xr:uid="{00000000-0005-0000-0000-0000AF2A0000}"/>
    <cellStyle name="SAPBEXexcGood2 14 2 5" xfId="10697" xr:uid="{00000000-0005-0000-0000-0000B02A0000}"/>
    <cellStyle name="SAPBEXexcGood2 14 3" xfId="10698" xr:uid="{00000000-0005-0000-0000-0000B12A0000}"/>
    <cellStyle name="SAPBEXexcGood2 14 4" xfId="10699" xr:uid="{00000000-0005-0000-0000-0000B22A0000}"/>
    <cellStyle name="SAPBEXexcGood2 14 5" xfId="10700" xr:uid="{00000000-0005-0000-0000-0000B32A0000}"/>
    <cellStyle name="SAPBEXexcGood2 14 6" xfId="10701" xr:uid="{00000000-0005-0000-0000-0000B42A0000}"/>
    <cellStyle name="SAPBEXexcGood2 15" xfId="10702" xr:uid="{00000000-0005-0000-0000-0000B52A0000}"/>
    <cellStyle name="SAPBEXexcGood2 15 2" xfId="10703" xr:uid="{00000000-0005-0000-0000-0000B62A0000}"/>
    <cellStyle name="SAPBEXexcGood2 15 2 2" xfId="10704" xr:uid="{00000000-0005-0000-0000-0000B72A0000}"/>
    <cellStyle name="SAPBEXexcGood2 15 2 3" xfId="10705" xr:uid="{00000000-0005-0000-0000-0000B82A0000}"/>
    <cellStyle name="SAPBEXexcGood2 15 2 4" xfId="10706" xr:uid="{00000000-0005-0000-0000-0000B92A0000}"/>
    <cellStyle name="SAPBEXexcGood2 15 2 5" xfId="10707" xr:uid="{00000000-0005-0000-0000-0000BA2A0000}"/>
    <cellStyle name="SAPBEXexcGood2 15 3" xfId="10708" xr:uid="{00000000-0005-0000-0000-0000BB2A0000}"/>
    <cellStyle name="SAPBEXexcGood2 15 4" xfId="10709" xr:uid="{00000000-0005-0000-0000-0000BC2A0000}"/>
    <cellStyle name="SAPBEXexcGood2 15 5" xfId="10710" xr:uid="{00000000-0005-0000-0000-0000BD2A0000}"/>
    <cellStyle name="SAPBEXexcGood2 15 6" xfId="10711" xr:uid="{00000000-0005-0000-0000-0000BE2A0000}"/>
    <cellStyle name="SAPBEXexcGood2 16" xfId="10712" xr:uid="{00000000-0005-0000-0000-0000BF2A0000}"/>
    <cellStyle name="SAPBEXexcGood2 17" xfId="10713" xr:uid="{00000000-0005-0000-0000-0000C02A0000}"/>
    <cellStyle name="SAPBEXexcGood2 18" xfId="10714" xr:uid="{00000000-0005-0000-0000-0000C12A0000}"/>
    <cellStyle name="SAPBEXexcGood2 19" xfId="10715" xr:uid="{00000000-0005-0000-0000-0000C22A0000}"/>
    <cellStyle name="SAPBEXexcGood2 2" xfId="10716" xr:uid="{00000000-0005-0000-0000-0000C32A0000}"/>
    <cellStyle name="SAPBEXexcGood2 2 2" xfId="10717" xr:uid="{00000000-0005-0000-0000-0000C42A0000}"/>
    <cellStyle name="SAPBEXexcGood2 2 2 2" xfId="10718" xr:uid="{00000000-0005-0000-0000-0000C52A0000}"/>
    <cellStyle name="SAPBEXexcGood2 2 2 3" xfId="10719" xr:uid="{00000000-0005-0000-0000-0000C62A0000}"/>
    <cellStyle name="SAPBEXexcGood2 2 2 4" xfId="10720" xr:uid="{00000000-0005-0000-0000-0000C72A0000}"/>
    <cellStyle name="SAPBEXexcGood2 2 2 5" xfId="10721" xr:uid="{00000000-0005-0000-0000-0000C82A0000}"/>
    <cellStyle name="SAPBEXexcGood2 2 3" xfId="10722" xr:uid="{00000000-0005-0000-0000-0000C92A0000}"/>
    <cellStyle name="SAPBEXexcGood2 2 4" xfId="10723" xr:uid="{00000000-0005-0000-0000-0000CA2A0000}"/>
    <cellStyle name="SAPBEXexcGood2 2 5" xfId="10724" xr:uid="{00000000-0005-0000-0000-0000CB2A0000}"/>
    <cellStyle name="SAPBEXexcGood2 2 6" xfId="10725" xr:uid="{00000000-0005-0000-0000-0000CC2A0000}"/>
    <cellStyle name="SAPBEXexcGood2 3" xfId="10726" xr:uid="{00000000-0005-0000-0000-0000CD2A0000}"/>
    <cellStyle name="SAPBEXexcGood2 3 2" xfId="10727" xr:uid="{00000000-0005-0000-0000-0000CE2A0000}"/>
    <cellStyle name="SAPBEXexcGood2 3 2 2" xfId="10728" xr:uid="{00000000-0005-0000-0000-0000CF2A0000}"/>
    <cellStyle name="SAPBEXexcGood2 3 2 3" xfId="10729" xr:uid="{00000000-0005-0000-0000-0000D02A0000}"/>
    <cellStyle name="SAPBEXexcGood2 3 2 4" xfId="10730" xr:uid="{00000000-0005-0000-0000-0000D12A0000}"/>
    <cellStyle name="SAPBEXexcGood2 3 2 5" xfId="10731" xr:uid="{00000000-0005-0000-0000-0000D22A0000}"/>
    <cellStyle name="SAPBEXexcGood2 3 3" xfId="10732" xr:uid="{00000000-0005-0000-0000-0000D32A0000}"/>
    <cellStyle name="SAPBEXexcGood2 3 4" xfId="10733" xr:uid="{00000000-0005-0000-0000-0000D42A0000}"/>
    <cellStyle name="SAPBEXexcGood2 3 5" xfId="10734" xr:uid="{00000000-0005-0000-0000-0000D52A0000}"/>
    <cellStyle name="SAPBEXexcGood2 3 6" xfId="10735" xr:uid="{00000000-0005-0000-0000-0000D62A0000}"/>
    <cellStyle name="SAPBEXexcGood2 4" xfId="10736" xr:uid="{00000000-0005-0000-0000-0000D72A0000}"/>
    <cellStyle name="SAPBEXexcGood2 4 2" xfId="10737" xr:uid="{00000000-0005-0000-0000-0000D82A0000}"/>
    <cellStyle name="SAPBEXexcGood2 4 2 2" xfId="10738" xr:uid="{00000000-0005-0000-0000-0000D92A0000}"/>
    <cellStyle name="SAPBEXexcGood2 4 2 3" xfId="10739" xr:uid="{00000000-0005-0000-0000-0000DA2A0000}"/>
    <cellStyle name="SAPBEXexcGood2 4 2 4" xfId="10740" xr:uid="{00000000-0005-0000-0000-0000DB2A0000}"/>
    <cellStyle name="SAPBEXexcGood2 4 2 5" xfId="10741" xr:uid="{00000000-0005-0000-0000-0000DC2A0000}"/>
    <cellStyle name="SAPBEXexcGood2 4 3" xfId="10742" xr:uid="{00000000-0005-0000-0000-0000DD2A0000}"/>
    <cellStyle name="SAPBEXexcGood2 4 4" xfId="10743" xr:uid="{00000000-0005-0000-0000-0000DE2A0000}"/>
    <cellStyle name="SAPBEXexcGood2 4 5" xfId="10744" xr:uid="{00000000-0005-0000-0000-0000DF2A0000}"/>
    <cellStyle name="SAPBEXexcGood2 4 6" xfId="10745" xr:uid="{00000000-0005-0000-0000-0000E02A0000}"/>
    <cellStyle name="SAPBEXexcGood2 5" xfId="10746" xr:uid="{00000000-0005-0000-0000-0000E12A0000}"/>
    <cellStyle name="SAPBEXexcGood2 5 2" xfId="10747" xr:uid="{00000000-0005-0000-0000-0000E22A0000}"/>
    <cellStyle name="SAPBEXexcGood2 5 2 2" xfId="10748" xr:uid="{00000000-0005-0000-0000-0000E32A0000}"/>
    <cellStyle name="SAPBEXexcGood2 5 2 3" xfId="10749" xr:uid="{00000000-0005-0000-0000-0000E42A0000}"/>
    <cellStyle name="SAPBEXexcGood2 5 2 4" xfId="10750" xr:uid="{00000000-0005-0000-0000-0000E52A0000}"/>
    <cellStyle name="SAPBEXexcGood2 5 2 5" xfId="10751" xr:uid="{00000000-0005-0000-0000-0000E62A0000}"/>
    <cellStyle name="SAPBEXexcGood2 5 3" xfId="10752" xr:uid="{00000000-0005-0000-0000-0000E72A0000}"/>
    <cellStyle name="SAPBEXexcGood2 5 4" xfId="10753" xr:uid="{00000000-0005-0000-0000-0000E82A0000}"/>
    <cellStyle name="SAPBEXexcGood2 5 5" xfId="10754" xr:uid="{00000000-0005-0000-0000-0000E92A0000}"/>
    <cellStyle name="SAPBEXexcGood2 5 6" xfId="10755" xr:uid="{00000000-0005-0000-0000-0000EA2A0000}"/>
    <cellStyle name="SAPBEXexcGood2 6" xfId="10756" xr:uid="{00000000-0005-0000-0000-0000EB2A0000}"/>
    <cellStyle name="SAPBEXexcGood2 6 2" xfId="10757" xr:uid="{00000000-0005-0000-0000-0000EC2A0000}"/>
    <cellStyle name="SAPBEXexcGood2 6 2 2" xfId="10758" xr:uid="{00000000-0005-0000-0000-0000ED2A0000}"/>
    <cellStyle name="SAPBEXexcGood2 6 2 3" xfId="10759" xr:uid="{00000000-0005-0000-0000-0000EE2A0000}"/>
    <cellStyle name="SAPBEXexcGood2 6 2 4" xfId="10760" xr:uid="{00000000-0005-0000-0000-0000EF2A0000}"/>
    <cellStyle name="SAPBEXexcGood2 6 2 5" xfId="10761" xr:uid="{00000000-0005-0000-0000-0000F02A0000}"/>
    <cellStyle name="SAPBEXexcGood2 6 3" xfId="10762" xr:uid="{00000000-0005-0000-0000-0000F12A0000}"/>
    <cellStyle name="SAPBEXexcGood2 6 4" xfId="10763" xr:uid="{00000000-0005-0000-0000-0000F22A0000}"/>
    <cellStyle name="SAPBEXexcGood2 6 5" xfId="10764" xr:uid="{00000000-0005-0000-0000-0000F32A0000}"/>
    <cellStyle name="SAPBEXexcGood2 6 6" xfId="10765" xr:uid="{00000000-0005-0000-0000-0000F42A0000}"/>
    <cellStyle name="SAPBEXexcGood2 7" xfId="10766" xr:uid="{00000000-0005-0000-0000-0000F52A0000}"/>
    <cellStyle name="SAPBEXexcGood2 7 2" xfId="10767" xr:uid="{00000000-0005-0000-0000-0000F62A0000}"/>
    <cellStyle name="SAPBEXexcGood2 7 2 2" xfId="10768" xr:uid="{00000000-0005-0000-0000-0000F72A0000}"/>
    <cellStyle name="SAPBEXexcGood2 7 2 3" xfId="10769" xr:uid="{00000000-0005-0000-0000-0000F82A0000}"/>
    <cellStyle name="SAPBEXexcGood2 7 2 4" xfId="10770" xr:uid="{00000000-0005-0000-0000-0000F92A0000}"/>
    <cellStyle name="SAPBEXexcGood2 7 2 5" xfId="10771" xr:uid="{00000000-0005-0000-0000-0000FA2A0000}"/>
    <cellStyle name="SAPBEXexcGood2 7 3" xfId="10772" xr:uid="{00000000-0005-0000-0000-0000FB2A0000}"/>
    <cellStyle name="SAPBEXexcGood2 7 4" xfId="10773" xr:uid="{00000000-0005-0000-0000-0000FC2A0000}"/>
    <cellStyle name="SAPBEXexcGood2 7 5" xfId="10774" xr:uid="{00000000-0005-0000-0000-0000FD2A0000}"/>
    <cellStyle name="SAPBEXexcGood2 7 6" xfId="10775" xr:uid="{00000000-0005-0000-0000-0000FE2A0000}"/>
    <cellStyle name="SAPBEXexcGood2 8" xfId="10776" xr:uid="{00000000-0005-0000-0000-0000FF2A0000}"/>
    <cellStyle name="SAPBEXexcGood2 8 2" xfId="10777" xr:uid="{00000000-0005-0000-0000-0000002B0000}"/>
    <cellStyle name="SAPBEXexcGood2 8 2 2" xfId="10778" xr:uid="{00000000-0005-0000-0000-0000012B0000}"/>
    <cellStyle name="SAPBEXexcGood2 8 2 3" xfId="10779" xr:uid="{00000000-0005-0000-0000-0000022B0000}"/>
    <cellStyle name="SAPBEXexcGood2 8 2 4" xfId="10780" xr:uid="{00000000-0005-0000-0000-0000032B0000}"/>
    <cellStyle name="SAPBEXexcGood2 8 2 5" xfId="10781" xr:uid="{00000000-0005-0000-0000-0000042B0000}"/>
    <cellStyle name="SAPBEXexcGood2 8 3" xfId="10782" xr:uid="{00000000-0005-0000-0000-0000052B0000}"/>
    <cellStyle name="SAPBEXexcGood2 8 4" xfId="10783" xr:uid="{00000000-0005-0000-0000-0000062B0000}"/>
    <cellStyle name="SAPBEXexcGood2 8 5" xfId="10784" xr:uid="{00000000-0005-0000-0000-0000072B0000}"/>
    <cellStyle name="SAPBEXexcGood2 8 6" xfId="10785" xr:uid="{00000000-0005-0000-0000-0000082B0000}"/>
    <cellStyle name="SAPBEXexcGood2 9" xfId="10786" xr:uid="{00000000-0005-0000-0000-0000092B0000}"/>
    <cellStyle name="SAPBEXexcGood2 9 2" xfId="10787" xr:uid="{00000000-0005-0000-0000-00000A2B0000}"/>
    <cellStyle name="SAPBEXexcGood2 9 2 2" xfId="10788" xr:uid="{00000000-0005-0000-0000-00000B2B0000}"/>
    <cellStyle name="SAPBEXexcGood2 9 2 3" xfId="10789" xr:uid="{00000000-0005-0000-0000-00000C2B0000}"/>
    <cellStyle name="SAPBEXexcGood2 9 2 4" xfId="10790" xr:uid="{00000000-0005-0000-0000-00000D2B0000}"/>
    <cellStyle name="SAPBEXexcGood2 9 2 5" xfId="10791" xr:uid="{00000000-0005-0000-0000-00000E2B0000}"/>
    <cellStyle name="SAPBEXexcGood2 9 3" xfId="10792" xr:uid="{00000000-0005-0000-0000-00000F2B0000}"/>
    <cellStyle name="SAPBEXexcGood2 9 4" xfId="10793" xr:uid="{00000000-0005-0000-0000-0000102B0000}"/>
    <cellStyle name="SAPBEXexcGood2 9 5" xfId="10794" xr:uid="{00000000-0005-0000-0000-0000112B0000}"/>
    <cellStyle name="SAPBEXexcGood2 9 6" xfId="10795" xr:uid="{00000000-0005-0000-0000-0000122B0000}"/>
    <cellStyle name="SAPBEXexcGood2_KTR An-Abflug" xfId="14900" xr:uid="{00000000-0005-0000-0000-0000132B0000}"/>
    <cellStyle name="SAPBEXexcGood3" xfId="10796" xr:uid="{00000000-0005-0000-0000-0000142B0000}"/>
    <cellStyle name="SAPBEXexcGood3 10" xfId="10797" xr:uid="{00000000-0005-0000-0000-0000152B0000}"/>
    <cellStyle name="SAPBEXexcGood3 10 2" xfId="10798" xr:uid="{00000000-0005-0000-0000-0000162B0000}"/>
    <cellStyle name="SAPBEXexcGood3 10 2 2" xfId="10799" xr:uid="{00000000-0005-0000-0000-0000172B0000}"/>
    <cellStyle name="SAPBEXexcGood3 10 2 3" xfId="10800" xr:uid="{00000000-0005-0000-0000-0000182B0000}"/>
    <cellStyle name="SAPBEXexcGood3 10 2 4" xfId="10801" xr:uid="{00000000-0005-0000-0000-0000192B0000}"/>
    <cellStyle name="SAPBEXexcGood3 10 2 5" xfId="10802" xr:uid="{00000000-0005-0000-0000-00001A2B0000}"/>
    <cellStyle name="SAPBEXexcGood3 10 3" xfId="10803" xr:uid="{00000000-0005-0000-0000-00001B2B0000}"/>
    <cellStyle name="SAPBEXexcGood3 10 4" xfId="10804" xr:uid="{00000000-0005-0000-0000-00001C2B0000}"/>
    <cellStyle name="SAPBEXexcGood3 10 5" xfId="10805" xr:uid="{00000000-0005-0000-0000-00001D2B0000}"/>
    <cellStyle name="SAPBEXexcGood3 10 6" xfId="10806" xr:uid="{00000000-0005-0000-0000-00001E2B0000}"/>
    <cellStyle name="SAPBEXexcGood3 11" xfId="10807" xr:uid="{00000000-0005-0000-0000-00001F2B0000}"/>
    <cellStyle name="SAPBEXexcGood3 11 2" xfId="10808" xr:uid="{00000000-0005-0000-0000-0000202B0000}"/>
    <cellStyle name="SAPBEXexcGood3 11 2 2" xfId="10809" xr:uid="{00000000-0005-0000-0000-0000212B0000}"/>
    <cellStyle name="SAPBEXexcGood3 11 2 3" xfId="10810" xr:uid="{00000000-0005-0000-0000-0000222B0000}"/>
    <cellStyle name="SAPBEXexcGood3 11 2 4" xfId="10811" xr:uid="{00000000-0005-0000-0000-0000232B0000}"/>
    <cellStyle name="SAPBEXexcGood3 11 2 5" xfId="10812" xr:uid="{00000000-0005-0000-0000-0000242B0000}"/>
    <cellStyle name="SAPBEXexcGood3 11 3" xfId="10813" xr:uid="{00000000-0005-0000-0000-0000252B0000}"/>
    <cellStyle name="SAPBEXexcGood3 11 4" xfId="10814" xr:uid="{00000000-0005-0000-0000-0000262B0000}"/>
    <cellStyle name="SAPBEXexcGood3 11 5" xfId="10815" xr:uid="{00000000-0005-0000-0000-0000272B0000}"/>
    <cellStyle name="SAPBEXexcGood3 11 6" xfId="10816" xr:uid="{00000000-0005-0000-0000-0000282B0000}"/>
    <cellStyle name="SAPBEXexcGood3 12" xfId="10817" xr:uid="{00000000-0005-0000-0000-0000292B0000}"/>
    <cellStyle name="SAPBEXexcGood3 12 2" xfId="10818" xr:uid="{00000000-0005-0000-0000-00002A2B0000}"/>
    <cellStyle name="SAPBEXexcGood3 12 2 2" xfId="10819" xr:uid="{00000000-0005-0000-0000-00002B2B0000}"/>
    <cellStyle name="SAPBEXexcGood3 12 2 3" xfId="10820" xr:uid="{00000000-0005-0000-0000-00002C2B0000}"/>
    <cellStyle name="SAPBEXexcGood3 12 2 4" xfId="10821" xr:uid="{00000000-0005-0000-0000-00002D2B0000}"/>
    <cellStyle name="SAPBEXexcGood3 12 2 5" xfId="10822" xr:uid="{00000000-0005-0000-0000-00002E2B0000}"/>
    <cellStyle name="SAPBEXexcGood3 12 3" xfId="10823" xr:uid="{00000000-0005-0000-0000-00002F2B0000}"/>
    <cellStyle name="SAPBEXexcGood3 12 4" xfId="10824" xr:uid="{00000000-0005-0000-0000-0000302B0000}"/>
    <cellStyle name="SAPBEXexcGood3 12 5" xfId="10825" xr:uid="{00000000-0005-0000-0000-0000312B0000}"/>
    <cellStyle name="SAPBEXexcGood3 12 6" xfId="10826" xr:uid="{00000000-0005-0000-0000-0000322B0000}"/>
    <cellStyle name="SAPBEXexcGood3 13" xfId="10827" xr:uid="{00000000-0005-0000-0000-0000332B0000}"/>
    <cellStyle name="SAPBEXexcGood3 13 2" xfId="10828" xr:uid="{00000000-0005-0000-0000-0000342B0000}"/>
    <cellStyle name="SAPBEXexcGood3 13 2 2" xfId="10829" xr:uid="{00000000-0005-0000-0000-0000352B0000}"/>
    <cellStyle name="SAPBEXexcGood3 13 2 3" xfId="10830" xr:uid="{00000000-0005-0000-0000-0000362B0000}"/>
    <cellStyle name="SAPBEXexcGood3 13 2 4" xfId="10831" xr:uid="{00000000-0005-0000-0000-0000372B0000}"/>
    <cellStyle name="SAPBEXexcGood3 13 2 5" xfId="10832" xr:uid="{00000000-0005-0000-0000-0000382B0000}"/>
    <cellStyle name="SAPBEXexcGood3 13 3" xfId="10833" xr:uid="{00000000-0005-0000-0000-0000392B0000}"/>
    <cellStyle name="SAPBEXexcGood3 13 4" xfId="10834" xr:uid="{00000000-0005-0000-0000-00003A2B0000}"/>
    <cellStyle name="SAPBEXexcGood3 13 5" xfId="10835" xr:uid="{00000000-0005-0000-0000-00003B2B0000}"/>
    <cellStyle name="SAPBEXexcGood3 13 6" xfId="10836" xr:uid="{00000000-0005-0000-0000-00003C2B0000}"/>
    <cellStyle name="SAPBEXexcGood3 14" xfId="10837" xr:uid="{00000000-0005-0000-0000-00003D2B0000}"/>
    <cellStyle name="SAPBEXexcGood3 14 2" xfId="10838" xr:uid="{00000000-0005-0000-0000-00003E2B0000}"/>
    <cellStyle name="SAPBEXexcGood3 14 2 2" xfId="10839" xr:uid="{00000000-0005-0000-0000-00003F2B0000}"/>
    <cellStyle name="SAPBEXexcGood3 14 2 3" xfId="10840" xr:uid="{00000000-0005-0000-0000-0000402B0000}"/>
    <cellStyle name="SAPBEXexcGood3 14 2 4" xfId="10841" xr:uid="{00000000-0005-0000-0000-0000412B0000}"/>
    <cellStyle name="SAPBEXexcGood3 14 2 5" xfId="10842" xr:uid="{00000000-0005-0000-0000-0000422B0000}"/>
    <cellStyle name="SAPBEXexcGood3 14 3" xfId="10843" xr:uid="{00000000-0005-0000-0000-0000432B0000}"/>
    <cellStyle name="SAPBEXexcGood3 14 4" xfId="10844" xr:uid="{00000000-0005-0000-0000-0000442B0000}"/>
    <cellStyle name="SAPBEXexcGood3 14 5" xfId="10845" xr:uid="{00000000-0005-0000-0000-0000452B0000}"/>
    <cellStyle name="SAPBEXexcGood3 14 6" xfId="10846" xr:uid="{00000000-0005-0000-0000-0000462B0000}"/>
    <cellStyle name="SAPBEXexcGood3 15" xfId="10847" xr:uid="{00000000-0005-0000-0000-0000472B0000}"/>
    <cellStyle name="SAPBEXexcGood3 15 2" xfId="10848" xr:uid="{00000000-0005-0000-0000-0000482B0000}"/>
    <cellStyle name="SAPBEXexcGood3 15 2 2" xfId="10849" xr:uid="{00000000-0005-0000-0000-0000492B0000}"/>
    <cellStyle name="SAPBEXexcGood3 15 2 3" xfId="10850" xr:uid="{00000000-0005-0000-0000-00004A2B0000}"/>
    <cellStyle name="SAPBEXexcGood3 15 2 4" xfId="10851" xr:uid="{00000000-0005-0000-0000-00004B2B0000}"/>
    <cellStyle name="SAPBEXexcGood3 15 2 5" xfId="10852" xr:uid="{00000000-0005-0000-0000-00004C2B0000}"/>
    <cellStyle name="SAPBEXexcGood3 15 3" xfId="10853" xr:uid="{00000000-0005-0000-0000-00004D2B0000}"/>
    <cellStyle name="SAPBEXexcGood3 15 4" xfId="10854" xr:uid="{00000000-0005-0000-0000-00004E2B0000}"/>
    <cellStyle name="SAPBEXexcGood3 15 5" xfId="10855" xr:uid="{00000000-0005-0000-0000-00004F2B0000}"/>
    <cellStyle name="SAPBEXexcGood3 15 6" xfId="10856" xr:uid="{00000000-0005-0000-0000-0000502B0000}"/>
    <cellStyle name="SAPBEXexcGood3 16" xfId="10857" xr:uid="{00000000-0005-0000-0000-0000512B0000}"/>
    <cellStyle name="SAPBEXexcGood3 17" xfId="10858" xr:uid="{00000000-0005-0000-0000-0000522B0000}"/>
    <cellStyle name="SAPBEXexcGood3 18" xfId="10859" xr:uid="{00000000-0005-0000-0000-0000532B0000}"/>
    <cellStyle name="SAPBEXexcGood3 19" xfId="10860" xr:uid="{00000000-0005-0000-0000-0000542B0000}"/>
    <cellStyle name="SAPBEXexcGood3 2" xfId="10861" xr:uid="{00000000-0005-0000-0000-0000552B0000}"/>
    <cellStyle name="SAPBEXexcGood3 2 2" xfId="10862" xr:uid="{00000000-0005-0000-0000-0000562B0000}"/>
    <cellStyle name="SAPBEXexcGood3 2 2 2" xfId="10863" xr:uid="{00000000-0005-0000-0000-0000572B0000}"/>
    <cellStyle name="SAPBEXexcGood3 2 2 3" xfId="10864" xr:uid="{00000000-0005-0000-0000-0000582B0000}"/>
    <cellStyle name="SAPBEXexcGood3 2 2 4" xfId="10865" xr:uid="{00000000-0005-0000-0000-0000592B0000}"/>
    <cellStyle name="SAPBEXexcGood3 2 2 5" xfId="10866" xr:uid="{00000000-0005-0000-0000-00005A2B0000}"/>
    <cellStyle name="SAPBEXexcGood3 2 3" xfId="10867" xr:uid="{00000000-0005-0000-0000-00005B2B0000}"/>
    <cellStyle name="SAPBEXexcGood3 2 4" xfId="10868" xr:uid="{00000000-0005-0000-0000-00005C2B0000}"/>
    <cellStyle name="SAPBEXexcGood3 2 5" xfId="10869" xr:uid="{00000000-0005-0000-0000-00005D2B0000}"/>
    <cellStyle name="SAPBEXexcGood3 2 6" xfId="10870" xr:uid="{00000000-0005-0000-0000-00005E2B0000}"/>
    <cellStyle name="SAPBEXexcGood3 3" xfId="10871" xr:uid="{00000000-0005-0000-0000-00005F2B0000}"/>
    <cellStyle name="SAPBEXexcGood3 3 2" xfId="10872" xr:uid="{00000000-0005-0000-0000-0000602B0000}"/>
    <cellStyle name="SAPBEXexcGood3 3 2 2" xfId="10873" xr:uid="{00000000-0005-0000-0000-0000612B0000}"/>
    <cellStyle name="SAPBEXexcGood3 3 2 3" xfId="10874" xr:uid="{00000000-0005-0000-0000-0000622B0000}"/>
    <cellStyle name="SAPBEXexcGood3 3 2 4" xfId="10875" xr:uid="{00000000-0005-0000-0000-0000632B0000}"/>
    <cellStyle name="SAPBEXexcGood3 3 2 5" xfId="10876" xr:uid="{00000000-0005-0000-0000-0000642B0000}"/>
    <cellStyle name="SAPBEXexcGood3 3 3" xfId="10877" xr:uid="{00000000-0005-0000-0000-0000652B0000}"/>
    <cellStyle name="SAPBEXexcGood3 3 4" xfId="10878" xr:uid="{00000000-0005-0000-0000-0000662B0000}"/>
    <cellStyle name="SAPBEXexcGood3 3 5" xfId="10879" xr:uid="{00000000-0005-0000-0000-0000672B0000}"/>
    <cellStyle name="SAPBEXexcGood3 3 6" xfId="10880" xr:uid="{00000000-0005-0000-0000-0000682B0000}"/>
    <cellStyle name="SAPBEXexcGood3 4" xfId="10881" xr:uid="{00000000-0005-0000-0000-0000692B0000}"/>
    <cellStyle name="SAPBEXexcGood3 4 2" xfId="10882" xr:uid="{00000000-0005-0000-0000-00006A2B0000}"/>
    <cellStyle name="SAPBEXexcGood3 4 2 2" xfId="10883" xr:uid="{00000000-0005-0000-0000-00006B2B0000}"/>
    <cellStyle name="SAPBEXexcGood3 4 2 3" xfId="10884" xr:uid="{00000000-0005-0000-0000-00006C2B0000}"/>
    <cellStyle name="SAPBEXexcGood3 4 2 4" xfId="10885" xr:uid="{00000000-0005-0000-0000-00006D2B0000}"/>
    <cellStyle name="SAPBEXexcGood3 4 2 5" xfId="10886" xr:uid="{00000000-0005-0000-0000-00006E2B0000}"/>
    <cellStyle name="SAPBEXexcGood3 4 3" xfId="10887" xr:uid="{00000000-0005-0000-0000-00006F2B0000}"/>
    <cellStyle name="SAPBEXexcGood3 4 4" xfId="10888" xr:uid="{00000000-0005-0000-0000-0000702B0000}"/>
    <cellStyle name="SAPBEXexcGood3 4 5" xfId="10889" xr:uid="{00000000-0005-0000-0000-0000712B0000}"/>
    <cellStyle name="SAPBEXexcGood3 4 6" xfId="10890" xr:uid="{00000000-0005-0000-0000-0000722B0000}"/>
    <cellStyle name="SAPBEXexcGood3 5" xfId="10891" xr:uid="{00000000-0005-0000-0000-0000732B0000}"/>
    <cellStyle name="SAPBEXexcGood3 5 2" xfId="10892" xr:uid="{00000000-0005-0000-0000-0000742B0000}"/>
    <cellStyle name="SAPBEXexcGood3 5 2 2" xfId="10893" xr:uid="{00000000-0005-0000-0000-0000752B0000}"/>
    <cellStyle name="SAPBEXexcGood3 5 2 3" xfId="10894" xr:uid="{00000000-0005-0000-0000-0000762B0000}"/>
    <cellStyle name="SAPBEXexcGood3 5 2 4" xfId="10895" xr:uid="{00000000-0005-0000-0000-0000772B0000}"/>
    <cellStyle name="SAPBEXexcGood3 5 2 5" xfId="10896" xr:uid="{00000000-0005-0000-0000-0000782B0000}"/>
    <cellStyle name="SAPBEXexcGood3 5 3" xfId="10897" xr:uid="{00000000-0005-0000-0000-0000792B0000}"/>
    <cellStyle name="SAPBEXexcGood3 5 4" xfId="10898" xr:uid="{00000000-0005-0000-0000-00007A2B0000}"/>
    <cellStyle name="SAPBEXexcGood3 5 5" xfId="10899" xr:uid="{00000000-0005-0000-0000-00007B2B0000}"/>
    <cellStyle name="SAPBEXexcGood3 5 6" xfId="10900" xr:uid="{00000000-0005-0000-0000-00007C2B0000}"/>
    <cellStyle name="SAPBEXexcGood3 6" xfId="10901" xr:uid="{00000000-0005-0000-0000-00007D2B0000}"/>
    <cellStyle name="SAPBEXexcGood3 6 2" xfId="10902" xr:uid="{00000000-0005-0000-0000-00007E2B0000}"/>
    <cellStyle name="SAPBEXexcGood3 6 2 2" xfId="10903" xr:uid="{00000000-0005-0000-0000-00007F2B0000}"/>
    <cellStyle name="SAPBEXexcGood3 6 2 3" xfId="10904" xr:uid="{00000000-0005-0000-0000-0000802B0000}"/>
    <cellStyle name="SAPBEXexcGood3 6 2 4" xfId="10905" xr:uid="{00000000-0005-0000-0000-0000812B0000}"/>
    <cellStyle name="SAPBEXexcGood3 6 2 5" xfId="10906" xr:uid="{00000000-0005-0000-0000-0000822B0000}"/>
    <cellStyle name="SAPBEXexcGood3 6 3" xfId="10907" xr:uid="{00000000-0005-0000-0000-0000832B0000}"/>
    <cellStyle name="SAPBEXexcGood3 6 4" xfId="10908" xr:uid="{00000000-0005-0000-0000-0000842B0000}"/>
    <cellStyle name="SAPBEXexcGood3 6 5" xfId="10909" xr:uid="{00000000-0005-0000-0000-0000852B0000}"/>
    <cellStyle name="SAPBEXexcGood3 6 6" xfId="10910" xr:uid="{00000000-0005-0000-0000-0000862B0000}"/>
    <cellStyle name="SAPBEXexcGood3 7" xfId="10911" xr:uid="{00000000-0005-0000-0000-0000872B0000}"/>
    <cellStyle name="SAPBEXexcGood3 7 2" xfId="10912" xr:uid="{00000000-0005-0000-0000-0000882B0000}"/>
    <cellStyle name="SAPBEXexcGood3 7 2 2" xfId="10913" xr:uid="{00000000-0005-0000-0000-0000892B0000}"/>
    <cellStyle name="SAPBEXexcGood3 7 2 3" xfId="10914" xr:uid="{00000000-0005-0000-0000-00008A2B0000}"/>
    <cellStyle name="SAPBEXexcGood3 7 2 4" xfId="10915" xr:uid="{00000000-0005-0000-0000-00008B2B0000}"/>
    <cellStyle name="SAPBEXexcGood3 7 2 5" xfId="10916" xr:uid="{00000000-0005-0000-0000-00008C2B0000}"/>
    <cellStyle name="SAPBEXexcGood3 7 3" xfId="10917" xr:uid="{00000000-0005-0000-0000-00008D2B0000}"/>
    <cellStyle name="SAPBEXexcGood3 7 4" xfId="10918" xr:uid="{00000000-0005-0000-0000-00008E2B0000}"/>
    <cellStyle name="SAPBEXexcGood3 7 5" xfId="10919" xr:uid="{00000000-0005-0000-0000-00008F2B0000}"/>
    <cellStyle name="SAPBEXexcGood3 7 6" xfId="10920" xr:uid="{00000000-0005-0000-0000-0000902B0000}"/>
    <cellStyle name="SAPBEXexcGood3 8" xfId="10921" xr:uid="{00000000-0005-0000-0000-0000912B0000}"/>
    <cellStyle name="SAPBEXexcGood3 8 2" xfId="10922" xr:uid="{00000000-0005-0000-0000-0000922B0000}"/>
    <cellStyle name="SAPBEXexcGood3 8 2 2" xfId="10923" xr:uid="{00000000-0005-0000-0000-0000932B0000}"/>
    <cellStyle name="SAPBEXexcGood3 8 2 3" xfId="10924" xr:uid="{00000000-0005-0000-0000-0000942B0000}"/>
    <cellStyle name="SAPBEXexcGood3 8 2 4" xfId="10925" xr:uid="{00000000-0005-0000-0000-0000952B0000}"/>
    <cellStyle name="SAPBEXexcGood3 8 2 5" xfId="10926" xr:uid="{00000000-0005-0000-0000-0000962B0000}"/>
    <cellStyle name="SAPBEXexcGood3 8 3" xfId="10927" xr:uid="{00000000-0005-0000-0000-0000972B0000}"/>
    <cellStyle name="SAPBEXexcGood3 8 4" xfId="10928" xr:uid="{00000000-0005-0000-0000-0000982B0000}"/>
    <cellStyle name="SAPBEXexcGood3 8 5" xfId="10929" xr:uid="{00000000-0005-0000-0000-0000992B0000}"/>
    <cellStyle name="SAPBEXexcGood3 8 6" xfId="10930" xr:uid="{00000000-0005-0000-0000-00009A2B0000}"/>
    <cellStyle name="SAPBEXexcGood3 9" xfId="10931" xr:uid="{00000000-0005-0000-0000-00009B2B0000}"/>
    <cellStyle name="SAPBEXexcGood3 9 2" xfId="10932" xr:uid="{00000000-0005-0000-0000-00009C2B0000}"/>
    <cellStyle name="SAPBEXexcGood3 9 2 2" xfId="10933" xr:uid="{00000000-0005-0000-0000-00009D2B0000}"/>
    <cellStyle name="SAPBEXexcGood3 9 2 3" xfId="10934" xr:uid="{00000000-0005-0000-0000-00009E2B0000}"/>
    <cellStyle name="SAPBEXexcGood3 9 2 4" xfId="10935" xr:uid="{00000000-0005-0000-0000-00009F2B0000}"/>
    <cellStyle name="SAPBEXexcGood3 9 2 5" xfId="10936" xr:uid="{00000000-0005-0000-0000-0000A02B0000}"/>
    <cellStyle name="SAPBEXexcGood3 9 3" xfId="10937" xr:uid="{00000000-0005-0000-0000-0000A12B0000}"/>
    <cellStyle name="SAPBEXexcGood3 9 4" xfId="10938" xr:uid="{00000000-0005-0000-0000-0000A22B0000}"/>
    <cellStyle name="SAPBEXexcGood3 9 5" xfId="10939" xr:uid="{00000000-0005-0000-0000-0000A32B0000}"/>
    <cellStyle name="SAPBEXexcGood3 9 6" xfId="10940" xr:uid="{00000000-0005-0000-0000-0000A42B0000}"/>
    <cellStyle name="SAPBEXexcGood3_KTR An-Abflug" xfId="14896" xr:uid="{00000000-0005-0000-0000-0000A52B0000}"/>
    <cellStyle name="SAPBEXfilterDrill" xfId="10941" xr:uid="{00000000-0005-0000-0000-0000A62B0000}"/>
    <cellStyle name="SAPBEXfilterDrill 10" xfId="10942" xr:uid="{00000000-0005-0000-0000-0000A72B0000}"/>
    <cellStyle name="SAPBEXfilterDrill 10 2" xfId="10943" xr:uid="{00000000-0005-0000-0000-0000A82B0000}"/>
    <cellStyle name="SAPBEXfilterDrill 10 2 2" xfId="10944" xr:uid="{00000000-0005-0000-0000-0000A92B0000}"/>
    <cellStyle name="SAPBEXfilterDrill 10 2 3" xfId="10945" xr:uid="{00000000-0005-0000-0000-0000AA2B0000}"/>
    <cellStyle name="SAPBEXfilterDrill 10 2 4" xfId="10946" xr:uid="{00000000-0005-0000-0000-0000AB2B0000}"/>
    <cellStyle name="SAPBEXfilterDrill 10 2 5" xfId="10947" xr:uid="{00000000-0005-0000-0000-0000AC2B0000}"/>
    <cellStyle name="SAPBEXfilterDrill 10 3" xfId="10948" xr:uid="{00000000-0005-0000-0000-0000AD2B0000}"/>
    <cellStyle name="SAPBEXfilterDrill 10 4" xfId="10949" xr:uid="{00000000-0005-0000-0000-0000AE2B0000}"/>
    <cellStyle name="SAPBEXfilterDrill 10 5" xfId="10950" xr:uid="{00000000-0005-0000-0000-0000AF2B0000}"/>
    <cellStyle name="SAPBEXfilterDrill 10 6" xfId="10951" xr:uid="{00000000-0005-0000-0000-0000B02B0000}"/>
    <cellStyle name="SAPBEXfilterDrill 11" xfId="10952" xr:uid="{00000000-0005-0000-0000-0000B12B0000}"/>
    <cellStyle name="SAPBEXfilterDrill 11 2" xfId="10953" xr:uid="{00000000-0005-0000-0000-0000B22B0000}"/>
    <cellStyle name="SAPBEXfilterDrill 11 2 2" xfId="10954" xr:uid="{00000000-0005-0000-0000-0000B32B0000}"/>
    <cellStyle name="SAPBEXfilterDrill 11 2 3" xfId="10955" xr:uid="{00000000-0005-0000-0000-0000B42B0000}"/>
    <cellStyle name="SAPBEXfilterDrill 11 2 4" xfId="10956" xr:uid="{00000000-0005-0000-0000-0000B52B0000}"/>
    <cellStyle name="SAPBEXfilterDrill 11 2 5" xfId="10957" xr:uid="{00000000-0005-0000-0000-0000B62B0000}"/>
    <cellStyle name="SAPBEXfilterDrill 11 3" xfId="10958" xr:uid="{00000000-0005-0000-0000-0000B72B0000}"/>
    <cellStyle name="SAPBEXfilterDrill 11 4" xfId="10959" xr:uid="{00000000-0005-0000-0000-0000B82B0000}"/>
    <cellStyle name="SAPBEXfilterDrill 11 5" xfId="10960" xr:uid="{00000000-0005-0000-0000-0000B92B0000}"/>
    <cellStyle name="SAPBEXfilterDrill 11 6" xfId="10961" xr:uid="{00000000-0005-0000-0000-0000BA2B0000}"/>
    <cellStyle name="SAPBEXfilterDrill 12" xfId="10962" xr:uid="{00000000-0005-0000-0000-0000BB2B0000}"/>
    <cellStyle name="SAPBEXfilterDrill 12 2" xfId="10963" xr:uid="{00000000-0005-0000-0000-0000BC2B0000}"/>
    <cellStyle name="SAPBEXfilterDrill 12 2 2" xfId="10964" xr:uid="{00000000-0005-0000-0000-0000BD2B0000}"/>
    <cellStyle name="SAPBEXfilterDrill 12 2 3" xfId="10965" xr:uid="{00000000-0005-0000-0000-0000BE2B0000}"/>
    <cellStyle name="SAPBEXfilterDrill 12 2 4" xfId="10966" xr:uid="{00000000-0005-0000-0000-0000BF2B0000}"/>
    <cellStyle name="SAPBEXfilterDrill 12 2 5" xfId="10967" xr:uid="{00000000-0005-0000-0000-0000C02B0000}"/>
    <cellStyle name="SAPBEXfilterDrill 12 3" xfId="10968" xr:uid="{00000000-0005-0000-0000-0000C12B0000}"/>
    <cellStyle name="SAPBEXfilterDrill 12 4" xfId="10969" xr:uid="{00000000-0005-0000-0000-0000C22B0000}"/>
    <cellStyle name="SAPBEXfilterDrill 12 5" xfId="10970" xr:uid="{00000000-0005-0000-0000-0000C32B0000}"/>
    <cellStyle name="SAPBEXfilterDrill 12 6" xfId="10971" xr:uid="{00000000-0005-0000-0000-0000C42B0000}"/>
    <cellStyle name="SAPBEXfilterDrill 13" xfId="10972" xr:uid="{00000000-0005-0000-0000-0000C52B0000}"/>
    <cellStyle name="SAPBEXfilterDrill 13 2" xfId="10973" xr:uid="{00000000-0005-0000-0000-0000C62B0000}"/>
    <cellStyle name="SAPBEXfilterDrill 13 2 2" xfId="10974" xr:uid="{00000000-0005-0000-0000-0000C72B0000}"/>
    <cellStyle name="SAPBEXfilterDrill 13 2 3" xfId="10975" xr:uid="{00000000-0005-0000-0000-0000C82B0000}"/>
    <cellStyle name="SAPBEXfilterDrill 13 2 4" xfId="10976" xr:uid="{00000000-0005-0000-0000-0000C92B0000}"/>
    <cellStyle name="SAPBEXfilterDrill 13 2 5" xfId="10977" xr:uid="{00000000-0005-0000-0000-0000CA2B0000}"/>
    <cellStyle name="SAPBEXfilterDrill 13 3" xfId="10978" xr:uid="{00000000-0005-0000-0000-0000CB2B0000}"/>
    <cellStyle name="SAPBEXfilterDrill 13 4" xfId="10979" xr:uid="{00000000-0005-0000-0000-0000CC2B0000}"/>
    <cellStyle name="SAPBEXfilterDrill 13 5" xfId="10980" xr:uid="{00000000-0005-0000-0000-0000CD2B0000}"/>
    <cellStyle name="SAPBEXfilterDrill 13 6" xfId="10981" xr:uid="{00000000-0005-0000-0000-0000CE2B0000}"/>
    <cellStyle name="SAPBEXfilterDrill 14" xfId="10982" xr:uid="{00000000-0005-0000-0000-0000CF2B0000}"/>
    <cellStyle name="SAPBEXfilterDrill 14 2" xfId="10983" xr:uid="{00000000-0005-0000-0000-0000D02B0000}"/>
    <cellStyle name="SAPBEXfilterDrill 14 2 2" xfId="10984" xr:uid="{00000000-0005-0000-0000-0000D12B0000}"/>
    <cellStyle name="SAPBEXfilterDrill 14 2 3" xfId="10985" xr:uid="{00000000-0005-0000-0000-0000D22B0000}"/>
    <cellStyle name="SAPBEXfilterDrill 14 2 4" xfId="10986" xr:uid="{00000000-0005-0000-0000-0000D32B0000}"/>
    <cellStyle name="SAPBEXfilterDrill 14 2 5" xfId="10987" xr:uid="{00000000-0005-0000-0000-0000D42B0000}"/>
    <cellStyle name="SAPBEXfilterDrill 14 3" xfId="10988" xr:uid="{00000000-0005-0000-0000-0000D52B0000}"/>
    <cellStyle name="SAPBEXfilterDrill 14 4" xfId="10989" xr:uid="{00000000-0005-0000-0000-0000D62B0000}"/>
    <cellStyle name="SAPBEXfilterDrill 14 5" xfId="10990" xr:uid="{00000000-0005-0000-0000-0000D72B0000}"/>
    <cellStyle name="SAPBEXfilterDrill 14 6" xfId="10991" xr:uid="{00000000-0005-0000-0000-0000D82B0000}"/>
    <cellStyle name="SAPBEXfilterDrill 15" xfId="10992" xr:uid="{00000000-0005-0000-0000-0000D92B0000}"/>
    <cellStyle name="SAPBEXfilterDrill 15 2" xfId="10993" xr:uid="{00000000-0005-0000-0000-0000DA2B0000}"/>
    <cellStyle name="SAPBEXfilterDrill 15 2 2" xfId="10994" xr:uid="{00000000-0005-0000-0000-0000DB2B0000}"/>
    <cellStyle name="SAPBEXfilterDrill 15 2 3" xfId="10995" xr:uid="{00000000-0005-0000-0000-0000DC2B0000}"/>
    <cellStyle name="SAPBEXfilterDrill 15 2 4" xfId="10996" xr:uid="{00000000-0005-0000-0000-0000DD2B0000}"/>
    <cellStyle name="SAPBEXfilterDrill 15 2 5" xfId="10997" xr:uid="{00000000-0005-0000-0000-0000DE2B0000}"/>
    <cellStyle name="SAPBEXfilterDrill 15 3" xfId="10998" xr:uid="{00000000-0005-0000-0000-0000DF2B0000}"/>
    <cellStyle name="SAPBEXfilterDrill 15 4" xfId="10999" xr:uid="{00000000-0005-0000-0000-0000E02B0000}"/>
    <cellStyle name="SAPBEXfilterDrill 15 5" xfId="11000" xr:uid="{00000000-0005-0000-0000-0000E12B0000}"/>
    <cellStyle name="SAPBEXfilterDrill 15 6" xfId="11001" xr:uid="{00000000-0005-0000-0000-0000E22B0000}"/>
    <cellStyle name="SAPBEXfilterDrill 16" xfId="11002" xr:uid="{00000000-0005-0000-0000-0000E32B0000}"/>
    <cellStyle name="SAPBEXfilterDrill 17" xfId="11003" xr:uid="{00000000-0005-0000-0000-0000E42B0000}"/>
    <cellStyle name="SAPBEXfilterDrill 18" xfId="11004" xr:uid="{00000000-0005-0000-0000-0000E52B0000}"/>
    <cellStyle name="SAPBEXfilterDrill 19" xfId="11005" xr:uid="{00000000-0005-0000-0000-0000E62B0000}"/>
    <cellStyle name="SAPBEXfilterDrill 2" xfId="11006" xr:uid="{00000000-0005-0000-0000-0000E72B0000}"/>
    <cellStyle name="SAPBEXfilterDrill 2 2" xfId="11007" xr:uid="{00000000-0005-0000-0000-0000E82B0000}"/>
    <cellStyle name="SAPBEXfilterDrill 2 2 2" xfId="11008" xr:uid="{00000000-0005-0000-0000-0000E92B0000}"/>
    <cellStyle name="SAPBEXfilterDrill 2 2 3" xfId="11009" xr:uid="{00000000-0005-0000-0000-0000EA2B0000}"/>
    <cellStyle name="SAPBEXfilterDrill 2 2 4" xfId="11010" xr:uid="{00000000-0005-0000-0000-0000EB2B0000}"/>
    <cellStyle name="SAPBEXfilterDrill 2 2 5" xfId="11011" xr:uid="{00000000-0005-0000-0000-0000EC2B0000}"/>
    <cellStyle name="SAPBEXfilterDrill 2 3" xfId="11012" xr:uid="{00000000-0005-0000-0000-0000ED2B0000}"/>
    <cellStyle name="SAPBEXfilterDrill 2 4" xfId="11013" xr:uid="{00000000-0005-0000-0000-0000EE2B0000}"/>
    <cellStyle name="SAPBEXfilterDrill 2 5" xfId="11014" xr:uid="{00000000-0005-0000-0000-0000EF2B0000}"/>
    <cellStyle name="SAPBEXfilterDrill 2 6" xfId="11015" xr:uid="{00000000-0005-0000-0000-0000F02B0000}"/>
    <cellStyle name="SAPBEXfilterDrill 3" xfId="11016" xr:uid="{00000000-0005-0000-0000-0000F12B0000}"/>
    <cellStyle name="SAPBEXfilterDrill 3 2" xfId="11017" xr:uid="{00000000-0005-0000-0000-0000F22B0000}"/>
    <cellStyle name="SAPBEXfilterDrill 3 2 2" xfId="11018" xr:uid="{00000000-0005-0000-0000-0000F32B0000}"/>
    <cellStyle name="SAPBEXfilterDrill 3 2 3" xfId="11019" xr:uid="{00000000-0005-0000-0000-0000F42B0000}"/>
    <cellStyle name="SAPBEXfilterDrill 3 2 4" xfId="11020" xr:uid="{00000000-0005-0000-0000-0000F52B0000}"/>
    <cellStyle name="SAPBEXfilterDrill 3 2 5" xfId="11021" xr:uid="{00000000-0005-0000-0000-0000F62B0000}"/>
    <cellStyle name="SAPBEXfilterDrill 3 3" xfId="11022" xr:uid="{00000000-0005-0000-0000-0000F72B0000}"/>
    <cellStyle name="SAPBEXfilterDrill 3 4" xfId="11023" xr:uid="{00000000-0005-0000-0000-0000F82B0000}"/>
    <cellStyle name="SAPBEXfilterDrill 3 5" xfId="11024" xr:uid="{00000000-0005-0000-0000-0000F92B0000}"/>
    <cellStyle name="SAPBEXfilterDrill 3 6" xfId="11025" xr:uid="{00000000-0005-0000-0000-0000FA2B0000}"/>
    <cellStyle name="SAPBEXfilterDrill 4" xfId="11026" xr:uid="{00000000-0005-0000-0000-0000FB2B0000}"/>
    <cellStyle name="SAPBEXfilterDrill 4 2" xfId="11027" xr:uid="{00000000-0005-0000-0000-0000FC2B0000}"/>
    <cellStyle name="SAPBEXfilterDrill 4 2 2" xfId="11028" xr:uid="{00000000-0005-0000-0000-0000FD2B0000}"/>
    <cellStyle name="SAPBEXfilterDrill 4 2 3" xfId="11029" xr:uid="{00000000-0005-0000-0000-0000FE2B0000}"/>
    <cellStyle name="SAPBEXfilterDrill 4 2 4" xfId="11030" xr:uid="{00000000-0005-0000-0000-0000FF2B0000}"/>
    <cellStyle name="SAPBEXfilterDrill 4 2 5" xfId="11031" xr:uid="{00000000-0005-0000-0000-0000002C0000}"/>
    <cellStyle name="SAPBEXfilterDrill 4 3" xfId="11032" xr:uid="{00000000-0005-0000-0000-0000012C0000}"/>
    <cellStyle name="SAPBEXfilterDrill 4 4" xfId="11033" xr:uid="{00000000-0005-0000-0000-0000022C0000}"/>
    <cellStyle name="SAPBEXfilterDrill 4 5" xfId="11034" xr:uid="{00000000-0005-0000-0000-0000032C0000}"/>
    <cellStyle name="SAPBEXfilterDrill 4 6" xfId="11035" xr:uid="{00000000-0005-0000-0000-0000042C0000}"/>
    <cellStyle name="SAPBEXfilterDrill 5" xfId="11036" xr:uid="{00000000-0005-0000-0000-0000052C0000}"/>
    <cellStyle name="SAPBEXfilterDrill 5 2" xfId="11037" xr:uid="{00000000-0005-0000-0000-0000062C0000}"/>
    <cellStyle name="SAPBEXfilterDrill 5 2 2" xfId="11038" xr:uid="{00000000-0005-0000-0000-0000072C0000}"/>
    <cellStyle name="SAPBEXfilterDrill 5 2 3" xfId="11039" xr:uid="{00000000-0005-0000-0000-0000082C0000}"/>
    <cellStyle name="SAPBEXfilterDrill 5 2 4" xfId="11040" xr:uid="{00000000-0005-0000-0000-0000092C0000}"/>
    <cellStyle name="SAPBEXfilterDrill 5 2 5" xfId="11041" xr:uid="{00000000-0005-0000-0000-00000A2C0000}"/>
    <cellStyle name="SAPBEXfilterDrill 5 3" xfId="11042" xr:uid="{00000000-0005-0000-0000-00000B2C0000}"/>
    <cellStyle name="SAPBEXfilterDrill 5 4" xfId="11043" xr:uid="{00000000-0005-0000-0000-00000C2C0000}"/>
    <cellStyle name="SAPBEXfilterDrill 5 5" xfId="11044" xr:uid="{00000000-0005-0000-0000-00000D2C0000}"/>
    <cellStyle name="SAPBEXfilterDrill 5 6" xfId="11045" xr:uid="{00000000-0005-0000-0000-00000E2C0000}"/>
    <cellStyle name="SAPBEXfilterDrill 6" xfId="11046" xr:uid="{00000000-0005-0000-0000-00000F2C0000}"/>
    <cellStyle name="SAPBEXfilterDrill 6 2" xfId="11047" xr:uid="{00000000-0005-0000-0000-0000102C0000}"/>
    <cellStyle name="SAPBEXfilterDrill 6 2 2" xfId="11048" xr:uid="{00000000-0005-0000-0000-0000112C0000}"/>
    <cellStyle name="SAPBEXfilterDrill 6 2 3" xfId="11049" xr:uid="{00000000-0005-0000-0000-0000122C0000}"/>
    <cellStyle name="SAPBEXfilterDrill 6 2 4" xfId="11050" xr:uid="{00000000-0005-0000-0000-0000132C0000}"/>
    <cellStyle name="SAPBEXfilterDrill 6 2 5" xfId="11051" xr:uid="{00000000-0005-0000-0000-0000142C0000}"/>
    <cellStyle name="SAPBEXfilterDrill 6 3" xfId="11052" xr:uid="{00000000-0005-0000-0000-0000152C0000}"/>
    <cellStyle name="SAPBEXfilterDrill 6 4" xfId="11053" xr:uid="{00000000-0005-0000-0000-0000162C0000}"/>
    <cellStyle name="SAPBEXfilterDrill 6 5" xfId="11054" xr:uid="{00000000-0005-0000-0000-0000172C0000}"/>
    <cellStyle name="SAPBEXfilterDrill 6 6" xfId="11055" xr:uid="{00000000-0005-0000-0000-0000182C0000}"/>
    <cellStyle name="SAPBEXfilterDrill 7" xfId="11056" xr:uid="{00000000-0005-0000-0000-0000192C0000}"/>
    <cellStyle name="SAPBEXfilterDrill 7 2" xfId="11057" xr:uid="{00000000-0005-0000-0000-00001A2C0000}"/>
    <cellStyle name="SAPBEXfilterDrill 7 2 2" xfId="11058" xr:uid="{00000000-0005-0000-0000-00001B2C0000}"/>
    <cellStyle name="SAPBEXfilterDrill 7 2 3" xfId="11059" xr:uid="{00000000-0005-0000-0000-00001C2C0000}"/>
    <cellStyle name="SAPBEXfilterDrill 7 2 4" xfId="11060" xr:uid="{00000000-0005-0000-0000-00001D2C0000}"/>
    <cellStyle name="SAPBEXfilterDrill 7 2 5" xfId="11061" xr:uid="{00000000-0005-0000-0000-00001E2C0000}"/>
    <cellStyle name="SAPBEXfilterDrill 7 3" xfId="11062" xr:uid="{00000000-0005-0000-0000-00001F2C0000}"/>
    <cellStyle name="SAPBEXfilterDrill 7 4" xfId="11063" xr:uid="{00000000-0005-0000-0000-0000202C0000}"/>
    <cellStyle name="SAPBEXfilterDrill 7 5" xfId="11064" xr:uid="{00000000-0005-0000-0000-0000212C0000}"/>
    <cellStyle name="SAPBEXfilterDrill 7 6" xfId="11065" xr:uid="{00000000-0005-0000-0000-0000222C0000}"/>
    <cellStyle name="SAPBEXfilterDrill 8" xfId="11066" xr:uid="{00000000-0005-0000-0000-0000232C0000}"/>
    <cellStyle name="SAPBEXfilterDrill 8 2" xfId="11067" xr:uid="{00000000-0005-0000-0000-0000242C0000}"/>
    <cellStyle name="SAPBEXfilterDrill 8 2 2" xfId="11068" xr:uid="{00000000-0005-0000-0000-0000252C0000}"/>
    <cellStyle name="SAPBEXfilterDrill 8 2 3" xfId="11069" xr:uid="{00000000-0005-0000-0000-0000262C0000}"/>
    <cellStyle name="SAPBEXfilterDrill 8 2 4" xfId="11070" xr:uid="{00000000-0005-0000-0000-0000272C0000}"/>
    <cellStyle name="SAPBEXfilterDrill 8 2 5" xfId="11071" xr:uid="{00000000-0005-0000-0000-0000282C0000}"/>
    <cellStyle name="SAPBEXfilterDrill 8 3" xfId="11072" xr:uid="{00000000-0005-0000-0000-0000292C0000}"/>
    <cellStyle name="SAPBEXfilterDrill 8 4" xfId="11073" xr:uid="{00000000-0005-0000-0000-00002A2C0000}"/>
    <cellStyle name="SAPBEXfilterDrill 8 5" xfId="11074" xr:uid="{00000000-0005-0000-0000-00002B2C0000}"/>
    <cellStyle name="SAPBEXfilterDrill 8 6" xfId="11075" xr:uid="{00000000-0005-0000-0000-00002C2C0000}"/>
    <cellStyle name="SAPBEXfilterDrill 9" xfId="11076" xr:uid="{00000000-0005-0000-0000-00002D2C0000}"/>
    <cellStyle name="SAPBEXfilterDrill 9 2" xfId="11077" xr:uid="{00000000-0005-0000-0000-00002E2C0000}"/>
    <cellStyle name="SAPBEXfilterDrill 9 2 2" xfId="11078" xr:uid="{00000000-0005-0000-0000-00002F2C0000}"/>
    <cellStyle name="SAPBEXfilterDrill 9 2 3" xfId="11079" xr:uid="{00000000-0005-0000-0000-0000302C0000}"/>
    <cellStyle name="SAPBEXfilterDrill 9 2 4" xfId="11080" xr:uid="{00000000-0005-0000-0000-0000312C0000}"/>
    <cellStyle name="SAPBEXfilterDrill 9 2 5" xfId="11081" xr:uid="{00000000-0005-0000-0000-0000322C0000}"/>
    <cellStyle name="SAPBEXfilterDrill 9 3" xfId="11082" xr:uid="{00000000-0005-0000-0000-0000332C0000}"/>
    <cellStyle name="SAPBEXfilterDrill 9 4" xfId="11083" xr:uid="{00000000-0005-0000-0000-0000342C0000}"/>
    <cellStyle name="SAPBEXfilterDrill 9 5" xfId="11084" xr:uid="{00000000-0005-0000-0000-0000352C0000}"/>
    <cellStyle name="SAPBEXfilterDrill 9 6" xfId="11085" xr:uid="{00000000-0005-0000-0000-0000362C0000}"/>
    <cellStyle name="SAPBEXfilterDrill_KTR An-Abflug" xfId="14841" xr:uid="{00000000-0005-0000-0000-0000372C0000}"/>
    <cellStyle name="SAPBEXfilterItem" xfId="11086" xr:uid="{00000000-0005-0000-0000-0000382C0000}"/>
    <cellStyle name="SAPBEXfilterItem 10" xfId="11087" xr:uid="{00000000-0005-0000-0000-0000392C0000}"/>
    <cellStyle name="SAPBEXfilterItem 10 2" xfId="11088" xr:uid="{00000000-0005-0000-0000-00003A2C0000}"/>
    <cellStyle name="SAPBEXfilterItem 11" xfId="11089" xr:uid="{00000000-0005-0000-0000-00003B2C0000}"/>
    <cellStyle name="SAPBEXfilterItem 2" xfId="11090" xr:uid="{00000000-0005-0000-0000-00003C2C0000}"/>
    <cellStyle name="SAPBEXfilterItem 2 2" xfId="11091" xr:uid="{00000000-0005-0000-0000-00003D2C0000}"/>
    <cellStyle name="SAPBEXfilterItem 3" xfId="11092" xr:uid="{00000000-0005-0000-0000-00003E2C0000}"/>
    <cellStyle name="SAPBEXfilterItem 3 2" xfId="11093" xr:uid="{00000000-0005-0000-0000-00003F2C0000}"/>
    <cellStyle name="SAPBEXfilterItem 4" xfId="11094" xr:uid="{00000000-0005-0000-0000-0000402C0000}"/>
    <cellStyle name="SAPBEXfilterItem 4 2" xfId="11095" xr:uid="{00000000-0005-0000-0000-0000412C0000}"/>
    <cellStyle name="SAPBEXfilterItem 5" xfId="11096" xr:uid="{00000000-0005-0000-0000-0000422C0000}"/>
    <cellStyle name="SAPBEXfilterItem 5 2" xfId="11097" xr:uid="{00000000-0005-0000-0000-0000432C0000}"/>
    <cellStyle name="SAPBEXfilterItem 6" xfId="11098" xr:uid="{00000000-0005-0000-0000-0000442C0000}"/>
    <cellStyle name="SAPBEXfilterItem 6 2" xfId="11099" xr:uid="{00000000-0005-0000-0000-0000452C0000}"/>
    <cellStyle name="SAPBEXfilterItem 7" xfId="11100" xr:uid="{00000000-0005-0000-0000-0000462C0000}"/>
    <cellStyle name="SAPBEXfilterItem 7 2" xfId="11101" xr:uid="{00000000-0005-0000-0000-0000472C0000}"/>
    <cellStyle name="SAPBEXfilterItem 8" xfId="11102" xr:uid="{00000000-0005-0000-0000-0000482C0000}"/>
    <cellStyle name="SAPBEXfilterItem 8 2" xfId="11103" xr:uid="{00000000-0005-0000-0000-0000492C0000}"/>
    <cellStyle name="SAPBEXfilterItem 9" xfId="11104" xr:uid="{00000000-0005-0000-0000-00004A2C0000}"/>
    <cellStyle name="SAPBEXfilterItem 9 2" xfId="11105" xr:uid="{00000000-0005-0000-0000-00004B2C0000}"/>
    <cellStyle name="SAPBEXfilterText" xfId="11106" xr:uid="{00000000-0005-0000-0000-00004C2C0000}"/>
    <cellStyle name="SAPBEXformats" xfId="11107" xr:uid="{00000000-0005-0000-0000-00004D2C0000}"/>
    <cellStyle name="SAPBEXformats 10" xfId="11108" xr:uid="{00000000-0005-0000-0000-00004E2C0000}"/>
    <cellStyle name="SAPBEXformats 10 2" xfId="11109" xr:uid="{00000000-0005-0000-0000-00004F2C0000}"/>
    <cellStyle name="SAPBEXformats 10 2 2" xfId="11110" xr:uid="{00000000-0005-0000-0000-0000502C0000}"/>
    <cellStyle name="SAPBEXformats 10 2 3" xfId="11111" xr:uid="{00000000-0005-0000-0000-0000512C0000}"/>
    <cellStyle name="SAPBEXformats 10 2 4" xfId="11112" xr:uid="{00000000-0005-0000-0000-0000522C0000}"/>
    <cellStyle name="SAPBEXformats 10 2 5" xfId="11113" xr:uid="{00000000-0005-0000-0000-0000532C0000}"/>
    <cellStyle name="SAPBEXformats 10 3" xfId="11114" xr:uid="{00000000-0005-0000-0000-0000542C0000}"/>
    <cellStyle name="SAPBEXformats 10 4" xfId="11115" xr:uid="{00000000-0005-0000-0000-0000552C0000}"/>
    <cellStyle name="SAPBEXformats 10 5" xfId="11116" xr:uid="{00000000-0005-0000-0000-0000562C0000}"/>
    <cellStyle name="SAPBEXformats 10 6" xfId="11117" xr:uid="{00000000-0005-0000-0000-0000572C0000}"/>
    <cellStyle name="SAPBEXformats 11" xfId="11118" xr:uid="{00000000-0005-0000-0000-0000582C0000}"/>
    <cellStyle name="SAPBEXformats 11 2" xfId="11119" xr:uid="{00000000-0005-0000-0000-0000592C0000}"/>
    <cellStyle name="SAPBEXformats 11 2 2" xfId="11120" xr:uid="{00000000-0005-0000-0000-00005A2C0000}"/>
    <cellStyle name="SAPBEXformats 11 2 3" xfId="11121" xr:uid="{00000000-0005-0000-0000-00005B2C0000}"/>
    <cellStyle name="SAPBEXformats 11 2 4" xfId="11122" xr:uid="{00000000-0005-0000-0000-00005C2C0000}"/>
    <cellStyle name="SAPBEXformats 11 2 5" xfId="11123" xr:uid="{00000000-0005-0000-0000-00005D2C0000}"/>
    <cellStyle name="SAPBEXformats 11 3" xfId="11124" xr:uid="{00000000-0005-0000-0000-00005E2C0000}"/>
    <cellStyle name="SAPBEXformats 11 4" xfId="11125" xr:uid="{00000000-0005-0000-0000-00005F2C0000}"/>
    <cellStyle name="SAPBEXformats 11 5" xfId="11126" xr:uid="{00000000-0005-0000-0000-0000602C0000}"/>
    <cellStyle name="SAPBEXformats 11 6" xfId="11127" xr:uid="{00000000-0005-0000-0000-0000612C0000}"/>
    <cellStyle name="SAPBEXformats 12" xfId="11128" xr:uid="{00000000-0005-0000-0000-0000622C0000}"/>
    <cellStyle name="SAPBEXformats 12 2" xfId="11129" xr:uid="{00000000-0005-0000-0000-0000632C0000}"/>
    <cellStyle name="SAPBEXformats 12 2 2" xfId="11130" xr:uid="{00000000-0005-0000-0000-0000642C0000}"/>
    <cellStyle name="SAPBEXformats 12 2 3" xfId="11131" xr:uid="{00000000-0005-0000-0000-0000652C0000}"/>
    <cellStyle name="SAPBEXformats 12 2 4" xfId="11132" xr:uid="{00000000-0005-0000-0000-0000662C0000}"/>
    <cellStyle name="SAPBEXformats 12 2 5" xfId="11133" xr:uid="{00000000-0005-0000-0000-0000672C0000}"/>
    <cellStyle name="SAPBEXformats 12 3" xfId="11134" xr:uid="{00000000-0005-0000-0000-0000682C0000}"/>
    <cellStyle name="SAPBEXformats 12 4" xfId="11135" xr:uid="{00000000-0005-0000-0000-0000692C0000}"/>
    <cellStyle name="SAPBEXformats 12 5" xfId="11136" xr:uid="{00000000-0005-0000-0000-00006A2C0000}"/>
    <cellStyle name="SAPBEXformats 12 6" xfId="11137" xr:uid="{00000000-0005-0000-0000-00006B2C0000}"/>
    <cellStyle name="SAPBEXformats 13" xfId="11138" xr:uid="{00000000-0005-0000-0000-00006C2C0000}"/>
    <cellStyle name="SAPBEXformats 13 2" xfId="11139" xr:uid="{00000000-0005-0000-0000-00006D2C0000}"/>
    <cellStyle name="SAPBEXformats 13 2 2" xfId="11140" xr:uid="{00000000-0005-0000-0000-00006E2C0000}"/>
    <cellStyle name="SAPBEXformats 13 2 3" xfId="11141" xr:uid="{00000000-0005-0000-0000-00006F2C0000}"/>
    <cellStyle name="SAPBEXformats 13 2 4" xfId="11142" xr:uid="{00000000-0005-0000-0000-0000702C0000}"/>
    <cellStyle name="SAPBEXformats 13 2 5" xfId="11143" xr:uid="{00000000-0005-0000-0000-0000712C0000}"/>
    <cellStyle name="SAPBEXformats 13 3" xfId="11144" xr:uid="{00000000-0005-0000-0000-0000722C0000}"/>
    <cellStyle name="SAPBEXformats 13 4" xfId="11145" xr:uid="{00000000-0005-0000-0000-0000732C0000}"/>
    <cellStyle name="SAPBEXformats 13 5" xfId="11146" xr:uid="{00000000-0005-0000-0000-0000742C0000}"/>
    <cellStyle name="SAPBEXformats 13 6" xfId="11147" xr:uid="{00000000-0005-0000-0000-0000752C0000}"/>
    <cellStyle name="SAPBEXformats 14" xfId="11148" xr:uid="{00000000-0005-0000-0000-0000762C0000}"/>
    <cellStyle name="SAPBEXformats 14 2" xfId="11149" xr:uid="{00000000-0005-0000-0000-0000772C0000}"/>
    <cellStyle name="SAPBEXformats 14 2 2" xfId="11150" xr:uid="{00000000-0005-0000-0000-0000782C0000}"/>
    <cellStyle name="SAPBEXformats 14 2 3" xfId="11151" xr:uid="{00000000-0005-0000-0000-0000792C0000}"/>
    <cellStyle name="SAPBEXformats 14 2 4" xfId="11152" xr:uid="{00000000-0005-0000-0000-00007A2C0000}"/>
    <cellStyle name="SAPBEXformats 14 2 5" xfId="11153" xr:uid="{00000000-0005-0000-0000-00007B2C0000}"/>
    <cellStyle name="SAPBEXformats 14 3" xfId="11154" xr:uid="{00000000-0005-0000-0000-00007C2C0000}"/>
    <cellStyle name="SAPBEXformats 14 4" xfId="11155" xr:uid="{00000000-0005-0000-0000-00007D2C0000}"/>
    <cellStyle name="SAPBEXformats 14 5" xfId="11156" xr:uid="{00000000-0005-0000-0000-00007E2C0000}"/>
    <cellStyle name="SAPBEXformats 14 6" xfId="11157" xr:uid="{00000000-0005-0000-0000-00007F2C0000}"/>
    <cellStyle name="SAPBEXformats 15" xfId="11158" xr:uid="{00000000-0005-0000-0000-0000802C0000}"/>
    <cellStyle name="SAPBEXformats 15 2" xfId="11159" xr:uid="{00000000-0005-0000-0000-0000812C0000}"/>
    <cellStyle name="SAPBEXformats 15 2 2" xfId="11160" xr:uid="{00000000-0005-0000-0000-0000822C0000}"/>
    <cellStyle name="SAPBEXformats 15 2 3" xfId="11161" xr:uid="{00000000-0005-0000-0000-0000832C0000}"/>
    <cellStyle name="SAPBEXformats 15 2 4" xfId="11162" xr:uid="{00000000-0005-0000-0000-0000842C0000}"/>
    <cellStyle name="SAPBEXformats 15 2 5" xfId="11163" xr:uid="{00000000-0005-0000-0000-0000852C0000}"/>
    <cellStyle name="SAPBEXformats 15 3" xfId="11164" xr:uid="{00000000-0005-0000-0000-0000862C0000}"/>
    <cellStyle name="SAPBEXformats 15 4" xfId="11165" xr:uid="{00000000-0005-0000-0000-0000872C0000}"/>
    <cellStyle name="SAPBEXformats 15 5" xfId="11166" xr:uid="{00000000-0005-0000-0000-0000882C0000}"/>
    <cellStyle name="SAPBEXformats 15 6" xfId="11167" xr:uid="{00000000-0005-0000-0000-0000892C0000}"/>
    <cellStyle name="SAPBEXformats 16" xfId="11168" xr:uid="{00000000-0005-0000-0000-00008A2C0000}"/>
    <cellStyle name="SAPBEXformats 17" xfId="11169" xr:uid="{00000000-0005-0000-0000-00008B2C0000}"/>
    <cellStyle name="SAPBEXformats 18" xfId="11170" xr:uid="{00000000-0005-0000-0000-00008C2C0000}"/>
    <cellStyle name="SAPBEXformats 19" xfId="11171" xr:uid="{00000000-0005-0000-0000-00008D2C0000}"/>
    <cellStyle name="SAPBEXformats 2" xfId="11172" xr:uid="{00000000-0005-0000-0000-00008E2C0000}"/>
    <cellStyle name="SAPBEXformats 2 2" xfId="11173" xr:uid="{00000000-0005-0000-0000-00008F2C0000}"/>
    <cellStyle name="SAPBEXformats 2 2 2" xfId="11174" xr:uid="{00000000-0005-0000-0000-0000902C0000}"/>
    <cellStyle name="SAPBEXformats 2 2 3" xfId="11175" xr:uid="{00000000-0005-0000-0000-0000912C0000}"/>
    <cellStyle name="SAPBEXformats 2 2 4" xfId="11176" xr:uid="{00000000-0005-0000-0000-0000922C0000}"/>
    <cellStyle name="SAPBEXformats 2 2 5" xfId="11177" xr:uid="{00000000-0005-0000-0000-0000932C0000}"/>
    <cellStyle name="SAPBEXformats 2 3" xfId="11178" xr:uid="{00000000-0005-0000-0000-0000942C0000}"/>
    <cellStyle name="SAPBEXformats 2 4" xfId="11179" xr:uid="{00000000-0005-0000-0000-0000952C0000}"/>
    <cellStyle name="SAPBEXformats 2 5" xfId="11180" xr:uid="{00000000-0005-0000-0000-0000962C0000}"/>
    <cellStyle name="SAPBEXformats 2 6" xfId="11181" xr:uid="{00000000-0005-0000-0000-0000972C0000}"/>
    <cellStyle name="SAPBEXformats 3" xfId="11182" xr:uid="{00000000-0005-0000-0000-0000982C0000}"/>
    <cellStyle name="SAPBEXformats 3 2" xfId="11183" xr:uid="{00000000-0005-0000-0000-0000992C0000}"/>
    <cellStyle name="SAPBEXformats 3 2 2" xfId="11184" xr:uid="{00000000-0005-0000-0000-00009A2C0000}"/>
    <cellStyle name="SAPBEXformats 3 2 3" xfId="11185" xr:uid="{00000000-0005-0000-0000-00009B2C0000}"/>
    <cellStyle name="SAPBEXformats 3 2 4" xfId="11186" xr:uid="{00000000-0005-0000-0000-00009C2C0000}"/>
    <cellStyle name="SAPBEXformats 3 2 5" xfId="11187" xr:uid="{00000000-0005-0000-0000-00009D2C0000}"/>
    <cellStyle name="SAPBEXformats 3 3" xfId="11188" xr:uid="{00000000-0005-0000-0000-00009E2C0000}"/>
    <cellStyle name="SAPBEXformats 3 4" xfId="11189" xr:uid="{00000000-0005-0000-0000-00009F2C0000}"/>
    <cellStyle name="SAPBEXformats 3 5" xfId="11190" xr:uid="{00000000-0005-0000-0000-0000A02C0000}"/>
    <cellStyle name="SAPBEXformats 3 6" xfId="11191" xr:uid="{00000000-0005-0000-0000-0000A12C0000}"/>
    <cellStyle name="SAPBEXformats 4" xfId="11192" xr:uid="{00000000-0005-0000-0000-0000A22C0000}"/>
    <cellStyle name="SAPBEXformats 4 2" xfId="11193" xr:uid="{00000000-0005-0000-0000-0000A32C0000}"/>
    <cellStyle name="SAPBEXformats 4 2 2" xfId="11194" xr:uid="{00000000-0005-0000-0000-0000A42C0000}"/>
    <cellStyle name="SAPBEXformats 4 2 3" xfId="11195" xr:uid="{00000000-0005-0000-0000-0000A52C0000}"/>
    <cellStyle name="SAPBEXformats 4 2 4" xfId="11196" xr:uid="{00000000-0005-0000-0000-0000A62C0000}"/>
    <cellStyle name="SAPBEXformats 4 2 5" xfId="11197" xr:uid="{00000000-0005-0000-0000-0000A72C0000}"/>
    <cellStyle name="SAPBEXformats 4 3" xfId="11198" xr:uid="{00000000-0005-0000-0000-0000A82C0000}"/>
    <cellStyle name="SAPBEXformats 4 4" xfId="11199" xr:uid="{00000000-0005-0000-0000-0000A92C0000}"/>
    <cellStyle name="SAPBEXformats 4 5" xfId="11200" xr:uid="{00000000-0005-0000-0000-0000AA2C0000}"/>
    <cellStyle name="SAPBEXformats 4 6" xfId="11201" xr:uid="{00000000-0005-0000-0000-0000AB2C0000}"/>
    <cellStyle name="SAPBEXformats 5" xfId="11202" xr:uid="{00000000-0005-0000-0000-0000AC2C0000}"/>
    <cellStyle name="SAPBEXformats 5 2" xfId="11203" xr:uid="{00000000-0005-0000-0000-0000AD2C0000}"/>
    <cellStyle name="SAPBEXformats 5 2 2" xfId="11204" xr:uid="{00000000-0005-0000-0000-0000AE2C0000}"/>
    <cellStyle name="SAPBEXformats 5 2 3" xfId="11205" xr:uid="{00000000-0005-0000-0000-0000AF2C0000}"/>
    <cellStyle name="SAPBEXformats 5 2 4" xfId="11206" xr:uid="{00000000-0005-0000-0000-0000B02C0000}"/>
    <cellStyle name="SAPBEXformats 5 2 5" xfId="11207" xr:uid="{00000000-0005-0000-0000-0000B12C0000}"/>
    <cellStyle name="SAPBEXformats 5 3" xfId="11208" xr:uid="{00000000-0005-0000-0000-0000B22C0000}"/>
    <cellStyle name="SAPBEXformats 5 4" xfId="11209" xr:uid="{00000000-0005-0000-0000-0000B32C0000}"/>
    <cellStyle name="SAPBEXformats 5 5" xfId="11210" xr:uid="{00000000-0005-0000-0000-0000B42C0000}"/>
    <cellStyle name="SAPBEXformats 5 6" xfId="11211" xr:uid="{00000000-0005-0000-0000-0000B52C0000}"/>
    <cellStyle name="SAPBEXformats 6" xfId="11212" xr:uid="{00000000-0005-0000-0000-0000B62C0000}"/>
    <cellStyle name="SAPBEXformats 6 2" xfId="11213" xr:uid="{00000000-0005-0000-0000-0000B72C0000}"/>
    <cellStyle name="SAPBEXformats 6 2 2" xfId="11214" xr:uid="{00000000-0005-0000-0000-0000B82C0000}"/>
    <cellStyle name="SAPBEXformats 6 2 3" xfId="11215" xr:uid="{00000000-0005-0000-0000-0000B92C0000}"/>
    <cellStyle name="SAPBEXformats 6 2 4" xfId="11216" xr:uid="{00000000-0005-0000-0000-0000BA2C0000}"/>
    <cellStyle name="SAPBEXformats 6 2 5" xfId="11217" xr:uid="{00000000-0005-0000-0000-0000BB2C0000}"/>
    <cellStyle name="SAPBEXformats 6 3" xfId="11218" xr:uid="{00000000-0005-0000-0000-0000BC2C0000}"/>
    <cellStyle name="SAPBEXformats 6 4" xfId="11219" xr:uid="{00000000-0005-0000-0000-0000BD2C0000}"/>
    <cellStyle name="SAPBEXformats 6 5" xfId="11220" xr:uid="{00000000-0005-0000-0000-0000BE2C0000}"/>
    <cellStyle name="SAPBEXformats 6 6" xfId="11221" xr:uid="{00000000-0005-0000-0000-0000BF2C0000}"/>
    <cellStyle name="SAPBEXformats 7" xfId="11222" xr:uid="{00000000-0005-0000-0000-0000C02C0000}"/>
    <cellStyle name="SAPBEXformats 7 2" xfId="11223" xr:uid="{00000000-0005-0000-0000-0000C12C0000}"/>
    <cellStyle name="SAPBEXformats 7 2 2" xfId="11224" xr:uid="{00000000-0005-0000-0000-0000C22C0000}"/>
    <cellStyle name="SAPBEXformats 7 2 3" xfId="11225" xr:uid="{00000000-0005-0000-0000-0000C32C0000}"/>
    <cellStyle name="SAPBEXformats 7 2 4" xfId="11226" xr:uid="{00000000-0005-0000-0000-0000C42C0000}"/>
    <cellStyle name="SAPBEXformats 7 2 5" xfId="11227" xr:uid="{00000000-0005-0000-0000-0000C52C0000}"/>
    <cellStyle name="SAPBEXformats 7 3" xfId="11228" xr:uid="{00000000-0005-0000-0000-0000C62C0000}"/>
    <cellStyle name="SAPBEXformats 7 4" xfId="11229" xr:uid="{00000000-0005-0000-0000-0000C72C0000}"/>
    <cellStyle name="SAPBEXformats 7 5" xfId="11230" xr:uid="{00000000-0005-0000-0000-0000C82C0000}"/>
    <cellStyle name="SAPBEXformats 7 6" xfId="11231" xr:uid="{00000000-0005-0000-0000-0000C92C0000}"/>
    <cellStyle name="SAPBEXformats 8" xfId="11232" xr:uid="{00000000-0005-0000-0000-0000CA2C0000}"/>
    <cellStyle name="SAPBEXformats 8 2" xfId="11233" xr:uid="{00000000-0005-0000-0000-0000CB2C0000}"/>
    <cellStyle name="SAPBEXformats 8 2 2" xfId="11234" xr:uid="{00000000-0005-0000-0000-0000CC2C0000}"/>
    <cellStyle name="SAPBEXformats 8 2 3" xfId="11235" xr:uid="{00000000-0005-0000-0000-0000CD2C0000}"/>
    <cellStyle name="SAPBEXformats 8 2 4" xfId="11236" xr:uid="{00000000-0005-0000-0000-0000CE2C0000}"/>
    <cellStyle name="SAPBEXformats 8 2 5" xfId="11237" xr:uid="{00000000-0005-0000-0000-0000CF2C0000}"/>
    <cellStyle name="SAPBEXformats 8 3" xfId="11238" xr:uid="{00000000-0005-0000-0000-0000D02C0000}"/>
    <cellStyle name="SAPBEXformats 8 4" xfId="11239" xr:uid="{00000000-0005-0000-0000-0000D12C0000}"/>
    <cellStyle name="SAPBEXformats 8 5" xfId="11240" xr:uid="{00000000-0005-0000-0000-0000D22C0000}"/>
    <cellStyle name="SAPBEXformats 8 6" xfId="11241" xr:uid="{00000000-0005-0000-0000-0000D32C0000}"/>
    <cellStyle name="SAPBEXformats 9" xfId="11242" xr:uid="{00000000-0005-0000-0000-0000D42C0000}"/>
    <cellStyle name="SAPBEXformats 9 2" xfId="11243" xr:uid="{00000000-0005-0000-0000-0000D52C0000}"/>
    <cellStyle name="SAPBEXformats 9 2 2" xfId="11244" xr:uid="{00000000-0005-0000-0000-0000D62C0000}"/>
    <cellStyle name="SAPBEXformats 9 2 3" xfId="11245" xr:uid="{00000000-0005-0000-0000-0000D72C0000}"/>
    <cellStyle name="SAPBEXformats 9 2 4" xfId="11246" xr:uid="{00000000-0005-0000-0000-0000D82C0000}"/>
    <cellStyle name="SAPBEXformats 9 2 5" xfId="11247" xr:uid="{00000000-0005-0000-0000-0000D92C0000}"/>
    <cellStyle name="SAPBEXformats 9 3" xfId="11248" xr:uid="{00000000-0005-0000-0000-0000DA2C0000}"/>
    <cellStyle name="SAPBEXformats 9 4" xfId="11249" xr:uid="{00000000-0005-0000-0000-0000DB2C0000}"/>
    <cellStyle name="SAPBEXformats 9 5" xfId="11250" xr:uid="{00000000-0005-0000-0000-0000DC2C0000}"/>
    <cellStyle name="SAPBEXformats 9 6" xfId="11251" xr:uid="{00000000-0005-0000-0000-0000DD2C0000}"/>
    <cellStyle name="SAPBEXformats_KTR An-Abflug" xfId="14895" xr:uid="{00000000-0005-0000-0000-0000DE2C0000}"/>
    <cellStyle name="SAPBEXheaderItem" xfId="11252" xr:uid="{00000000-0005-0000-0000-0000DF2C0000}"/>
    <cellStyle name="SAPBEXheaderItem 10" xfId="11253" xr:uid="{00000000-0005-0000-0000-0000E02C0000}"/>
    <cellStyle name="SAPBEXheaderItem 10 2" xfId="11254" xr:uid="{00000000-0005-0000-0000-0000E12C0000}"/>
    <cellStyle name="SAPBEXheaderItem 10 2 2" xfId="11255" xr:uid="{00000000-0005-0000-0000-0000E22C0000}"/>
    <cellStyle name="SAPBEXheaderItem 10 2 3" xfId="11256" xr:uid="{00000000-0005-0000-0000-0000E32C0000}"/>
    <cellStyle name="SAPBEXheaderItem 10 2 4" xfId="11257" xr:uid="{00000000-0005-0000-0000-0000E42C0000}"/>
    <cellStyle name="SAPBEXheaderItem 10 2 5" xfId="11258" xr:uid="{00000000-0005-0000-0000-0000E52C0000}"/>
    <cellStyle name="SAPBEXheaderItem 10 3" xfId="11259" xr:uid="{00000000-0005-0000-0000-0000E62C0000}"/>
    <cellStyle name="SAPBEXheaderItem 10 4" xfId="11260" xr:uid="{00000000-0005-0000-0000-0000E72C0000}"/>
    <cellStyle name="SAPBEXheaderItem 10 5" xfId="11261" xr:uid="{00000000-0005-0000-0000-0000E82C0000}"/>
    <cellStyle name="SAPBEXheaderItem 10 6" xfId="11262" xr:uid="{00000000-0005-0000-0000-0000E92C0000}"/>
    <cellStyle name="SAPBEXheaderItem 11" xfId="11263" xr:uid="{00000000-0005-0000-0000-0000EA2C0000}"/>
    <cellStyle name="SAPBEXheaderItem 11 2" xfId="11264" xr:uid="{00000000-0005-0000-0000-0000EB2C0000}"/>
    <cellStyle name="SAPBEXheaderItem 11 2 2" xfId="11265" xr:uid="{00000000-0005-0000-0000-0000EC2C0000}"/>
    <cellStyle name="SAPBEXheaderItem 11 2 3" xfId="11266" xr:uid="{00000000-0005-0000-0000-0000ED2C0000}"/>
    <cellStyle name="SAPBEXheaderItem 11 2 4" xfId="11267" xr:uid="{00000000-0005-0000-0000-0000EE2C0000}"/>
    <cellStyle name="SAPBEXheaderItem 11 2 5" xfId="11268" xr:uid="{00000000-0005-0000-0000-0000EF2C0000}"/>
    <cellStyle name="SAPBEXheaderItem 11 3" xfId="11269" xr:uid="{00000000-0005-0000-0000-0000F02C0000}"/>
    <cellStyle name="SAPBEXheaderItem 11 4" xfId="11270" xr:uid="{00000000-0005-0000-0000-0000F12C0000}"/>
    <cellStyle name="SAPBEXheaderItem 11 5" xfId="11271" xr:uid="{00000000-0005-0000-0000-0000F22C0000}"/>
    <cellStyle name="SAPBEXheaderItem 11 6" xfId="11272" xr:uid="{00000000-0005-0000-0000-0000F32C0000}"/>
    <cellStyle name="SAPBEXheaderItem 12" xfId="11273" xr:uid="{00000000-0005-0000-0000-0000F42C0000}"/>
    <cellStyle name="SAPBEXheaderItem 12 2" xfId="11274" xr:uid="{00000000-0005-0000-0000-0000F52C0000}"/>
    <cellStyle name="SAPBEXheaderItem 12 2 2" xfId="11275" xr:uid="{00000000-0005-0000-0000-0000F62C0000}"/>
    <cellStyle name="SAPBEXheaderItem 12 2 3" xfId="11276" xr:uid="{00000000-0005-0000-0000-0000F72C0000}"/>
    <cellStyle name="SAPBEXheaderItem 12 2 4" xfId="11277" xr:uid="{00000000-0005-0000-0000-0000F82C0000}"/>
    <cellStyle name="SAPBEXheaderItem 12 2 5" xfId="11278" xr:uid="{00000000-0005-0000-0000-0000F92C0000}"/>
    <cellStyle name="SAPBEXheaderItem 12 3" xfId="11279" xr:uid="{00000000-0005-0000-0000-0000FA2C0000}"/>
    <cellStyle name="SAPBEXheaderItem 12 4" xfId="11280" xr:uid="{00000000-0005-0000-0000-0000FB2C0000}"/>
    <cellStyle name="SAPBEXheaderItem 12 5" xfId="11281" xr:uid="{00000000-0005-0000-0000-0000FC2C0000}"/>
    <cellStyle name="SAPBEXheaderItem 12 6" xfId="11282" xr:uid="{00000000-0005-0000-0000-0000FD2C0000}"/>
    <cellStyle name="SAPBEXheaderItem 13" xfId="11283" xr:uid="{00000000-0005-0000-0000-0000FE2C0000}"/>
    <cellStyle name="SAPBEXheaderItem 13 2" xfId="11284" xr:uid="{00000000-0005-0000-0000-0000FF2C0000}"/>
    <cellStyle name="SAPBEXheaderItem 13 2 2" xfId="11285" xr:uid="{00000000-0005-0000-0000-0000002D0000}"/>
    <cellStyle name="SAPBEXheaderItem 13 2 3" xfId="11286" xr:uid="{00000000-0005-0000-0000-0000012D0000}"/>
    <cellStyle name="SAPBEXheaderItem 13 2 4" xfId="11287" xr:uid="{00000000-0005-0000-0000-0000022D0000}"/>
    <cellStyle name="SAPBEXheaderItem 13 2 5" xfId="11288" xr:uid="{00000000-0005-0000-0000-0000032D0000}"/>
    <cellStyle name="SAPBEXheaderItem 13 3" xfId="11289" xr:uid="{00000000-0005-0000-0000-0000042D0000}"/>
    <cellStyle name="SAPBEXheaderItem 13 4" xfId="11290" xr:uid="{00000000-0005-0000-0000-0000052D0000}"/>
    <cellStyle name="SAPBEXheaderItem 13 5" xfId="11291" xr:uid="{00000000-0005-0000-0000-0000062D0000}"/>
    <cellStyle name="SAPBEXheaderItem 13 6" xfId="11292" xr:uid="{00000000-0005-0000-0000-0000072D0000}"/>
    <cellStyle name="SAPBEXheaderItem 14" xfId="11293" xr:uid="{00000000-0005-0000-0000-0000082D0000}"/>
    <cellStyle name="SAPBEXheaderItem 14 2" xfId="11294" xr:uid="{00000000-0005-0000-0000-0000092D0000}"/>
    <cellStyle name="SAPBEXheaderItem 14 2 2" xfId="11295" xr:uid="{00000000-0005-0000-0000-00000A2D0000}"/>
    <cellStyle name="SAPBEXheaderItem 14 2 3" xfId="11296" xr:uid="{00000000-0005-0000-0000-00000B2D0000}"/>
    <cellStyle name="SAPBEXheaderItem 14 2 4" xfId="11297" xr:uid="{00000000-0005-0000-0000-00000C2D0000}"/>
    <cellStyle name="SAPBEXheaderItem 14 2 5" xfId="11298" xr:uid="{00000000-0005-0000-0000-00000D2D0000}"/>
    <cellStyle name="SAPBEXheaderItem 14 3" xfId="11299" xr:uid="{00000000-0005-0000-0000-00000E2D0000}"/>
    <cellStyle name="SAPBEXheaderItem 14 4" xfId="11300" xr:uid="{00000000-0005-0000-0000-00000F2D0000}"/>
    <cellStyle name="SAPBEXheaderItem 14 5" xfId="11301" xr:uid="{00000000-0005-0000-0000-0000102D0000}"/>
    <cellStyle name="SAPBEXheaderItem 14 6" xfId="11302" xr:uid="{00000000-0005-0000-0000-0000112D0000}"/>
    <cellStyle name="SAPBEXheaderItem 15" xfId="11303" xr:uid="{00000000-0005-0000-0000-0000122D0000}"/>
    <cellStyle name="SAPBEXheaderItem 15 2" xfId="11304" xr:uid="{00000000-0005-0000-0000-0000132D0000}"/>
    <cellStyle name="SAPBEXheaderItem 15 2 2" xfId="11305" xr:uid="{00000000-0005-0000-0000-0000142D0000}"/>
    <cellStyle name="SAPBEXheaderItem 15 2 3" xfId="11306" xr:uid="{00000000-0005-0000-0000-0000152D0000}"/>
    <cellStyle name="SAPBEXheaderItem 15 2 4" xfId="11307" xr:uid="{00000000-0005-0000-0000-0000162D0000}"/>
    <cellStyle name="SAPBEXheaderItem 15 2 5" xfId="11308" xr:uid="{00000000-0005-0000-0000-0000172D0000}"/>
    <cellStyle name="SAPBEXheaderItem 15 3" xfId="11309" xr:uid="{00000000-0005-0000-0000-0000182D0000}"/>
    <cellStyle name="SAPBEXheaderItem 15 4" xfId="11310" xr:uid="{00000000-0005-0000-0000-0000192D0000}"/>
    <cellStyle name="SAPBEXheaderItem 15 5" xfId="11311" xr:uid="{00000000-0005-0000-0000-00001A2D0000}"/>
    <cellStyle name="SAPBEXheaderItem 15 6" xfId="11312" xr:uid="{00000000-0005-0000-0000-00001B2D0000}"/>
    <cellStyle name="SAPBEXheaderItem 16" xfId="11313" xr:uid="{00000000-0005-0000-0000-00001C2D0000}"/>
    <cellStyle name="SAPBEXheaderItem 17" xfId="11314" xr:uid="{00000000-0005-0000-0000-00001D2D0000}"/>
    <cellStyle name="SAPBEXheaderItem 18" xfId="11315" xr:uid="{00000000-0005-0000-0000-00001E2D0000}"/>
    <cellStyle name="SAPBEXheaderItem 19" xfId="11316" xr:uid="{00000000-0005-0000-0000-00001F2D0000}"/>
    <cellStyle name="SAPBEXheaderItem 2" xfId="11317" xr:uid="{00000000-0005-0000-0000-0000202D0000}"/>
    <cellStyle name="SAPBEXheaderItem 2 2" xfId="11318" xr:uid="{00000000-0005-0000-0000-0000212D0000}"/>
    <cellStyle name="SAPBEXheaderItem 2 2 2" xfId="11319" xr:uid="{00000000-0005-0000-0000-0000222D0000}"/>
    <cellStyle name="SAPBEXheaderItem 2 2 3" xfId="11320" xr:uid="{00000000-0005-0000-0000-0000232D0000}"/>
    <cellStyle name="SAPBEXheaderItem 2 2 4" xfId="11321" xr:uid="{00000000-0005-0000-0000-0000242D0000}"/>
    <cellStyle name="SAPBEXheaderItem 2 2 5" xfId="11322" xr:uid="{00000000-0005-0000-0000-0000252D0000}"/>
    <cellStyle name="SAPBEXheaderItem 2 3" xfId="11323" xr:uid="{00000000-0005-0000-0000-0000262D0000}"/>
    <cellStyle name="SAPBEXheaderItem 2 4" xfId="11324" xr:uid="{00000000-0005-0000-0000-0000272D0000}"/>
    <cellStyle name="SAPBEXheaderItem 2 5" xfId="11325" xr:uid="{00000000-0005-0000-0000-0000282D0000}"/>
    <cellStyle name="SAPBEXheaderItem 2 6" xfId="11326" xr:uid="{00000000-0005-0000-0000-0000292D0000}"/>
    <cellStyle name="SAPBEXheaderItem 3" xfId="11327" xr:uid="{00000000-0005-0000-0000-00002A2D0000}"/>
    <cellStyle name="SAPBEXheaderItem 3 2" xfId="11328" xr:uid="{00000000-0005-0000-0000-00002B2D0000}"/>
    <cellStyle name="SAPBEXheaderItem 3 2 2" xfId="11329" xr:uid="{00000000-0005-0000-0000-00002C2D0000}"/>
    <cellStyle name="SAPBEXheaderItem 3 2 3" xfId="11330" xr:uid="{00000000-0005-0000-0000-00002D2D0000}"/>
    <cellStyle name="SAPBEXheaderItem 3 2 4" xfId="11331" xr:uid="{00000000-0005-0000-0000-00002E2D0000}"/>
    <cellStyle name="SAPBEXheaderItem 3 2 5" xfId="11332" xr:uid="{00000000-0005-0000-0000-00002F2D0000}"/>
    <cellStyle name="SAPBEXheaderItem 3 3" xfId="11333" xr:uid="{00000000-0005-0000-0000-0000302D0000}"/>
    <cellStyle name="SAPBEXheaderItem 3 4" xfId="11334" xr:uid="{00000000-0005-0000-0000-0000312D0000}"/>
    <cellStyle name="SAPBEXheaderItem 3 5" xfId="11335" xr:uid="{00000000-0005-0000-0000-0000322D0000}"/>
    <cellStyle name="SAPBEXheaderItem 3 6" xfId="11336" xr:uid="{00000000-0005-0000-0000-0000332D0000}"/>
    <cellStyle name="SAPBEXheaderItem 4" xfId="11337" xr:uid="{00000000-0005-0000-0000-0000342D0000}"/>
    <cellStyle name="SAPBEXheaderItem 4 2" xfId="11338" xr:uid="{00000000-0005-0000-0000-0000352D0000}"/>
    <cellStyle name="SAPBEXheaderItem 4 2 2" xfId="11339" xr:uid="{00000000-0005-0000-0000-0000362D0000}"/>
    <cellStyle name="SAPBEXheaderItem 4 2 3" xfId="11340" xr:uid="{00000000-0005-0000-0000-0000372D0000}"/>
    <cellStyle name="SAPBEXheaderItem 4 2 4" xfId="11341" xr:uid="{00000000-0005-0000-0000-0000382D0000}"/>
    <cellStyle name="SAPBEXheaderItem 4 2 5" xfId="11342" xr:uid="{00000000-0005-0000-0000-0000392D0000}"/>
    <cellStyle name="SAPBEXheaderItem 4 3" xfId="11343" xr:uid="{00000000-0005-0000-0000-00003A2D0000}"/>
    <cellStyle name="SAPBEXheaderItem 4 4" xfId="11344" xr:uid="{00000000-0005-0000-0000-00003B2D0000}"/>
    <cellStyle name="SAPBEXheaderItem 4 5" xfId="11345" xr:uid="{00000000-0005-0000-0000-00003C2D0000}"/>
    <cellStyle name="SAPBEXheaderItem 4 6" xfId="11346" xr:uid="{00000000-0005-0000-0000-00003D2D0000}"/>
    <cellStyle name="SAPBEXheaderItem 5" xfId="11347" xr:uid="{00000000-0005-0000-0000-00003E2D0000}"/>
    <cellStyle name="SAPBEXheaderItem 5 2" xfId="11348" xr:uid="{00000000-0005-0000-0000-00003F2D0000}"/>
    <cellStyle name="SAPBEXheaderItem 5 2 2" xfId="11349" xr:uid="{00000000-0005-0000-0000-0000402D0000}"/>
    <cellStyle name="SAPBEXheaderItem 5 2 3" xfId="11350" xr:uid="{00000000-0005-0000-0000-0000412D0000}"/>
    <cellStyle name="SAPBEXheaderItem 5 2 4" xfId="11351" xr:uid="{00000000-0005-0000-0000-0000422D0000}"/>
    <cellStyle name="SAPBEXheaderItem 5 2 5" xfId="11352" xr:uid="{00000000-0005-0000-0000-0000432D0000}"/>
    <cellStyle name="SAPBEXheaderItem 5 3" xfId="11353" xr:uid="{00000000-0005-0000-0000-0000442D0000}"/>
    <cellStyle name="SAPBEXheaderItem 5 4" xfId="11354" xr:uid="{00000000-0005-0000-0000-0000452D0000}"/>
    <cellStyle name="SAPBEXheaderItem 5 5" xfId="11355" xr:uid="{00000000-0005-0000-0000-0000462D0000}"/>
    <cellStyle name="SAPBEXheaderItem 5 6" xfId="11356" xr:uid="{00000000-0005-0000-0000-0000472D0000}"/>
    <cellStyle name="SAPBEXheaderItem 6" xfId="11357" xr:uid="{00000000-0005-0000-0000-0000482D0000}"/>
    <cellStyle name="SAPBEXheaderItem 6 2" xfId="11358" xr:uid="{00000000-0005-0000-0000-0000492D0000}"/>
    <cellStyle name="SAPBEXheaderItem 6 2 2" xfId="11359" xr:uid="{00000000-0005-0000-0000-00004A2D0000}"/>
    <cellStyle name="SAPBEXheaderItem 6 2 3" xfId="11360" xr:uid="{00000000-0005-0000-0000-00004B2D0000}"/>
    <cellStyle name="SAPBEXheaderItem 6 2 4" xfId="11361" xr:uid="{00000000-0005-0000-0000-00004C2D0000}"/>
    <cellStyle name="SAPBEXheaderItem 6 2 5" xfId="11362" xr:uid="{00000000-0005-0000-0000-00004D2D0000}"/>
    <cellStyle name="SAPBEXheaderItem 6 3" xfId="11363" xr:uid="{00000000-0005-0000-0000-00004E2D0000}"/>
    <cellStyle name="SAPBEXheaderItem 6 4" xfId="11364" xr:uid="{00000000-0005-0000-0000-00004F2D0000}"/>
    <cellStyle name="SAPBEXheaderItem 6 5" xfId="11365" xr:uid="{00000000-0005-0000-0000-0000502D0000}"/>
    <cellStyle name="SAPBEXheaderItem 6 6" xfId="11366" xr:uid="{00000000-0005-0000-0000-0000512D0000}"/>
    <cellStyle name="SAPBEXheaderItem 7" xfId="11367" xr:uid="{00000000-0005-0000-0000-0000522D0000}"/>
    <cellStyle name="SAPBEXheaderItem 7 2" xfId="11368" xr:uid="{00000000-0005-0000-0000-0000532D0000}"/>
    <cellStyle name="SAPBEXheaderItem 7 2 2" xfId="11369" xr:uid="{00000000-0005-0000-0000-0000542D0000}"/>
    <cellStyle name="SAPBEXheaderItem 7 2 3" xfId="11370" xr:uid="{00000000-0005-0000-0000-0000552D0000}"/>
    <cellStyle name="SAPBEXheaderItem 7 2 4" xfId="11371" xr:uid="{00000000-0005-0000-0000-0000562D0000}"/>
    <cellStyle name="SAPBEXheaderItem 7 2 5" xfId="11372" xr:uid="{00000000-0005-0000-0000-0000572D0000}"/>
    <cellStyle name="SAPBEXheaderItem 7 3" xfId="11373" xr:uid="{00000000-0005-0000-0000-0000582D0000}"/>
    <cellStyle name="SAPBEXheaderItem 7 4" xfId="11374" xr:uid="{00000000-0005-0000-0000-0000592D0000}"/>
    <cellStyle name="SAPBEXheaderItem 7 5" xfId="11375" xr:uid="{00000000-0005-0000-0000-00005A2D0000}"/>
    <cellStyle name="SAPBEXheaderItem 7 6" xfId="11376" xr:uid="{00000000-0005-0000-0000-00005B2D0000}"/>
    <cellStyle name="SAPBEXheaderItem 8" xfId="11377" xr:uid="{00000000-0005-0000-0000-00005C2D0000}"/>
    <cellStyle name="SAPBEXheaderItem 8 2" xfId="11378" xr:uid="{00000000-0005-0000-0000-00005D2D0000}"/>
    <cellStyle name="SAPBEXheaderItem 8 2 2" xfId="11379" xr:uid="{00000000-0005-0000-0000-00005E2D0000}"/>
    <cellStyle name="SAPBEXheaderItem 8 2 3" xfId="11380" xr:uid="{00000000-0005-0000-0000-00005F2D0000}"/>
    <cellStyle name="SAPBEXheaderItem 8 2 4" xfId="11381" xr:uid="{00000000-0005-0000-0000-0000602D0000}"/>
    <cellStyle name="SAPBEXheaderItem 8 2 5" xfId="11382" xr:uid="{00000000-0005-0000-0000-0000612D0000}"/>
    <cellStyle name="SAPBEXheaderItem 8 3" xfId="11383" xr:uid="{00000000-0005-0000-0000-0000622D0000}"/>
    <cellStyle name="SAPBEXheaderItem 8 4" xfId="11384" xr:uid="{00000000-0005-0000-0000-0000632D0000}"/>
    <cellStyle name="SAPBEXheaderItem 8 5" xfId="11385" xr:uid="{00000000-0005-0000-0000-0000642D0000}"/>
    <cellStyle name="SAPBEXheaderItem 8 6" xfId="11386" xr:uid="{00000000-0005-0000-0000-0000652D0000}"/>
    <cellStyle name="SAPBEXheaderItem 9" xfId="11387" xr:uid="{00000000-0005-0000-0000-0000662D0000}"/>
    <cellStyle name="SAPBEXheaderItem 9 2" xfId="11388" xr:uid="{00000000-0005-0000-0000-0000672D0000}"/>
    <cellStyle name="SAPBEXheaderItem 9 2 2" xfId="11389" xr:uid="{00000000-0005-0000-0000-0000682D0000}"/>
    <cellStyle name="SAPBEXheaderItem 9 2 3" xfId="11390" xr:uid="{00000000-0005-0000-0000-0000692D0000}"/>
    <cellStyle name="SAPBEXheaderItem 9 2 4" xfId="11391" xr:uid="{00000000-0005-0000-0000-00006A2D0000}"/>
    <cellStyle name="SAPBEXheaderItem 9 2 5" xfId="11392" xr:uid="{00000000-0005-0000-0000-00006B2D0000}"/>
    <cellStyle name="SAPBEXheaderItem 9 3" xfId="11393" xr:uid="{00000000-0005-0000-0000-00006C2D0000}"/>
    <cellStyle name="SAPBEXheaderItem 9 4" xfId="11394" xr:uid="{00000000-0005-0000-0000-00006D2D0000}"/>
    <cellStyle name="SAPBEXheaderItem 9 5" xfId="11395" xr:uid="{00000000-0005-0000-0000-00006E2D0000}"/>
    <cellStyle name="SAPBEXheaderItem 9 6" xfId="11396" xr:uid="{00000000-0005-0000-0000-00006F2D0000}"/>
    <cellStyle name="SAPBEXheaderItem_KTR An-Abflug" xfId="14899" xr:uid="{00000000-0005-0000-0000-0000702D0000}"/>
    <cellStyle name="SAPBEXheaderText" xfId="11397" xr:uid="{00000000-0005-0000-0000-0000712D0000}"/>
    <cellStyle name="SAPBEXheaderText 10" xfId="11398" xr:uid="{00000000-0005-0000-0000-0000722D0000}"/>
    <cellStyle name="SAPBEXheaderText 10 2" xfId="11399" xr:uid="{00000000-0005-0000-0000-0000732D0000}"/>
    <cellStyle name="SAPBEXheaderText 10 2 2" xfId="11400" xr:uid="{00000000-0005-0000-0000-0000742D0000}"/>
    <cellStyle name="SAPBEXheaderText 10 2 3" xfId="11401" xr:uid="{00000000-0005-0000-0000-0000752D0000}"/>
    <cellStyle name="SAPBEXheaderText 10 2 4" xfId="11402" xr:uid="{00000000-0005-0000-0000-0000762D0000}"/>
    <cellStyle name="SAPBEXheaderText 10 2 5" xfId="11403" xr:uid="{00000000-0005-0000-0000-0000772D0000}"/>
    <cellStyle name="SAPBEXheaderText 10 3" xfId="11404" xr:uid="{00000000-0005-0000-0000-0000782D0000}"/>
    <cellStyle name="SAPBEXheaderText 10 4" xfId="11405" xr:uid="{00000000-0005-0000-0000-0000792D0000}"/>
    <cellStyle name="SAPBEXheaderText 10 5" xfId="11406" xr:uid="{00000000-0005-0000-0000-00007A2D0000}"/>
    <cellStyle name="SAPBEXheaderText 10 6" xfId="11407" xr:uid="{00000000-0005-0000-0000-00007B2D0000}"/>
    <cellStyle name="SAPBEXheaderText 11" xfId="11408" xr:uid="{00000000-0005-0000-0000-00007C2D0000}"/>
    <cellStyle name="SAPBEXheaderText 11 2" xfId="11409" xr:uid="{00000000-0005-0000-0000-00007D2D0000}"/>
    <cellStyle name="SAPBEXheaderText 11 2 2" xfId="11410" xr:uid="{00000000-0005-0000-0000-00007E2D0000}"/>
    <cellStyle name="SAPBEXheaderText 11 2 3" xfId="11411" xr:uid="{00000000-0005-0000-0000-00007F2D0000}"/>
    <cellStyle name="SAPBEXheaderText 11 2 4" xfId="11412" xr:uid="{00000000-0005-0000-0000-0000802D0000}"/>
    <cellStyle name="SAPBEXheaderText 11 2 5" xfId="11413" xr:uid="{00000000-0005-0000-0000-0000812D0000}"/>
    <cellStyle name="SAPBEXheaderText 11 3" xfId="11414" xr:uid="{00000000-0005-0000-0000-0000822D0000}"/>
    <cellStyle name="SAPBEXheaderText 11 4" xfId="11415" xr:uid="{00000000-0005-0000-0000-0000832D0000}"/>
    <cellStyle name="SAPBEXheaderText 11 5" xfId="11416" xr:uid="{00000000-0005-0000-0000-0000842D0000}"/>
    <cellStyle name="SAPBEXheaderText 11 6" xfId="11417" xr:uid="{00000000-0005-0000-0000-0000852D0000}"/>
    <cellStyle name="SAPBEXheaderText 12" xfId="11418" xr:uid="{00000000-0005-0000-0000-0000862D0000}"/>
    <cellStyle name="SAPBEXheaderText 12 2" xfId="11419" xr:uid="{00000000-0005-0000-0000-0000872D0000}"/>
    <cellStyle name="SAPBEXheaderText 12 2 2" xfId="11420" xr:uid="{00000000-0005-0000-0000-0000882D0000}"/>
    <cellStyle name="SAPBEXheaderText 12 2 3" xfId="11421" xr:uid="{00000000-0005-0000-0000-0000892D0000}"/>
    <cellStyle name="SAPBEXheaderText 12 2 4" xfId="11422" xr:uid="{00000000-0005-0000-0000-00008A2D0000}"/>
    <cellStyle name="SAPBEXheaderText 12 2 5" xfId="11423" xr:uid="{00000000-0005-0000-0000-00008B2D0000}"/>
    <cellStyle name="SAPBEXheaderText 12 3" xfId="11424" xr:uid="{00000000-0005-0000-0000-00008C2D0000}"/>
    <cellStyle name="SAPBEXheaderText 12 4" xfId="11425" xr:uid="{00000000-0005-0000-0000-00008D2D0000}"/>
    <cellStyle name="SAPBEXheaderText 12 5" xfId="11426" xr:uid="{00000000-0005-0000-0000-00008E2D0000}"/>
    <cellStyle name="SAPBEXheaderText 12 6" xfId="11427" xr:uid="{00000000-0005-0000-0000-00008F2D0000}"/>
    <cellStyle name="SAPBEXheaderText 13" xfId="11428" xr:uid="{00000000-0005-0000-0000-0000902D0000}"/>
    <cellStyle name="SAPBEXheaderText 13 2" xfId="11429" xr:uid="{00000000-0005-0000-0000-0000912D0000}"/>
    <cellStyle name="SAPBEXheaderText 13 2 2" xfId="11430" xr:uid="{00000000-0005-0000-0000-0000922D0000}"/>
    <cellStyle name="SAPBEXheaderText 13 2 3" xfId="11431" xr:uid="{00000000-0005-0000-0000-0000932D0000}"/>
    <cellStyle name="SAPBEXheaderText 13 2 4" xfId="11432" xr:uid="{00000000-0005-0000-0000-0000942D0000}"/>
    <cellStyle name="SAPBEXheaderText 13 2 5" xfId="11433" xr:uid="{00000000-0005-0000-0000-0000952D0000}"/>
    <cellStyle name="SAPBEXheaderText 13 3" xfId="11434" xr:uid="{00000000-0005-0000-0000-0000962D0000}"/>
    <cellStyle name="SAPBEXheaderText 13 4" xfId="11435" xr:uid="{00000000-0005-0000-0000-0000972D0000}"/>
    <cellStyle name="SAPBEXheaderText 13 5" xfId="11436" xr:uid="{00000000-0005-0000-0000-0000982D0000}"/>
    <cellStyle name="SAPBEXheaderText 13 6" xfId="11437" xr:uid="{00000000-0005-0000-0000-0000992D0000}"/>
    <cellStyle name="SAPBEXheaderText 14" xfId="11438" xr:uid="{00000000-0005-0000-0000-00009A2D0000}"/>
    <cellStyle name="SAPBEXheaderText 14 2" xfId="11439" xr:uid="{00000000-0005-0000-0000-00009B2D0000}"/>
    <cellStyle name="SAPBEXheaderText 14 2 2" xfId="11440" xr:uid="{00000000-0005-0000-0000-00009C2D0000}"/>
    <cellStyle name="SAPBEXheaderText 14 2 3" xfId="11441" xr:uid="{00000000-0005-0000-0000-00009D2D0000}"/>
    <cellStyle name="SAPBEXheaderText 14 2 4" xfId="11442" xr:uid="{00000000-0005-0000-0000-00009E2D0000}"/>
    <cellStyle name="SAPBEXheaderText 14 2 5" xfId="11443" xr:uid="{00000000-0005-0000-0000-00009F2D0000}"/>
    <cellStyle name="SAPBEXheaderText 14 3" xfId="11444" xr:uid="{00000000-0005-0000-0000-0000A02D0000}"/>
    <cellStyle name="SAPBEXheaderText 14 4" xfId="11445" xr:uid="{00000000-0005-0000-0000-0000A12D0000}"/>
    <cellStyle name="SAPBEXheaderText 14 5" xfId="11446" xr:uid="{00000000-0005-0000-0000-0000A22D0000}"/>
    <cellStyle name="SAPBEXheaderText 14 6" xfId="11447" xr:uid="{00000000-0005-0000-0000-0000A32D0000}"/>
    <cellStyle name="SAPBEXheaderText 15" xfId="11448" xr:uid="{00000000-0005-0000-0000-0000A42D0000}"/>
    <cellStyle name="SAPBEXheaderText 15 2" xfId="11449" xr:uid="{00000000-0005-0000-0000-0000A52D0000}"/>
    <cellStyle name="SAPBEXheaderText 15 2 2" xfId="11450" xr:uid="{00000000-0005-0000-0000-0000A62D0000}"/>
    <cellStyle name="SAPBEXheaderText 15 2 3" xfId="11451" xr:uid="{00000000-0005-0000-0000-0000A72D0000}"/>
    <cellStyle name="SAPBEXheaderText 15 2 4" xfId="11452" xr:uid="{00000000-0005-0000-0000-0000A82D0000}"/>
    <cellStyle name="SAPBEXheaderText 15 2 5" xfId="11453" xr:uid="{00000000-0005-0000-0000-0000A92D0000}"/>
    <cellStyle name="SAPBEXheaderText 15 3" xfId="11454" xr:uid="{00000000-0005-0000-0000-0000AA2D0000}"/>
    <cellStyle name="SAPBEXheaderText 15 4" xfId="11455" xr:uid="{00000000-0005-0000-0000-0000AB2D0000}"/>
    <cellStyle name="SAPBEXheaderText 15 5" xfId="11456" xr:uid="{00000000-0005-0000-0000-0000AC2D0000}"/>
    <cellStyle name="SAPBEXheaderText 15 6" xfId="11457" xr:uid="{00000000-0005-0000-0000-0000AD2D0000}"/>
    <cellStyle name="SAPBEXheaderText 16" xfId="11458" xr:uid="{00000000-0005-0000-0000-0000AE2D0000}"/>
    <cellStyle name="SAPBEXheaderText 17" xfId="11459" xr:uid="{00000000-0005-0000-0000-0000AF2D0000}"/>
    <cellStyle name="SAPBEXheaderText 18" xfId="11460" xr:uid="{00000000-0005-0000-0000-0000B02D0000}"/>
    <cellStyle name="SAPBEXheaderText 19" xfId="11461" xr:uid="{00000000-0005-0000-0000-0000B12D0000}"/>
    <cellStyle name="SAPBEXheaderText 2" xfId="11462" xr:uid="{00000000-0005-0000-0000-0000B22D0000}"/>
    <cellStyle name="SAPBEXheaderText 2 2" xfId="11463" xr:uid="{00000000-0005-0000-0000-0000B32D0000}"/>
    <cellStyle name="SAPBEXheaderText 2 2 2" xfId="11464" xr:uid="{00000000-0005-0000-0000-0000B42D0000}"/>
    <cellStyle name="SAPBEXheaderText 2 2 3" xfId="11465" xr:uid="{00000000-0005-0000-0000-0000B52D0000}"/>
    <cellStyle name="SAPBEXheaderText 2 2 4" xfId="11466" xr:uid="{00000000-0005-0000-0000-0000B62D0000}"/>
    <cellStyle name="SAPBEXheaderText 2 2 5" xfId="11467" xr:uid="{00000000-0005-0000-0000-0000B72D0000}"/>
    <cellStyle name="SAPBEXheaderText 2 3" xfId="11468" xr:uid="{00000000-0005-0000-0000-0000B82D0000}"/>
    <cellStyle name="SAPBEXheaderText 2 4" xfId="11469" xr:uid="{00000000-0005-0000-0000-0000B92D0000}"/>
    <cellStyle name="SAPBEXheaderText 2 5" xfId="11470" xr:uid="{00000000-0005-0000-0000-0000BA2D0000}"/>
    <cellStyle name="SAPBEXheaderText 2 6" xfId="11471" xr:uid="{00000000-0005-0000-0000-0000BB2D0000}"/>
    <cellStyle name="SAPBEXheaderText 3" xfId="11472" xr:uid="{00000000-0005-0000-0000-0000BC2D0000}"/>
    <cellStyle name="SAPBEXheaderText 3 2" xfId="11473" xr:uid="{00000000-0005-0000-0000-0000BD2D0000}"/>
    <cellStyle name="SAPBEXheaderText 3 2 2" xfId="11474" xr:uid="{00000000-0005-0000-0000-0000BE2D0000}"/>
    <cellStyle name="SAPBEXheaderText 3 2 3" xfId="11475" xr:uid="{00000000-0005-0000-0000-0000BF2D0000}"/>
    <cellStyle name="SAPBEXheaderText 3 2 4" xfId="11476" xr:uid="{00000000-0005-0000-0000-0000C02D0000}"/>
    <cellStyle name="SAPBEXheaderText 3 2 5" xfId="11477" xr:uid="{00000000-0005-0000-0000-0000C12D0000}"/>
    <cellStyle name="SAPBEXheaderText 3 3" xfId="11478" xr:uid="{00000000-0005-0000-0000-0000C22D0000}"/>
    <cellStyle name="SAPBEXheaderText 3 4" xfId="11479" xr:uid="{00000000-0005-0000-0000-0000C32D0000}"/>
    <cellStyle name="SAPBEXheaderText 3 5" xfId="11480" xr:uid="{00000000-0005-0000-0000-0000C42D0000}"/>
    <cellStyle name="SAPBEXheaderText 3 6" xfId="11481" xr:uid="{00000000-0005-0000-0000-0000C52D0000}"/>
    <cellStyle name="SAPBEXheaderText 4" xfId="11482" xr:uid="{00000000-0005-0000-0000-0000C62D0000}"/>
    <cellStyle name="SAPBEXheaderText 4 2" xfId="11483" xr:uid="{00000000-0005-0000-0000-0000C72D0000}"/>
    <cellStyle name="SAPBEXheaderText 4 2 2" xfId="11484" xr:uid="{00000000-0005-0000-0000-0000C82D0000}"/>
    <cellStyle name="SAPBEXheaderText 4 2 3" xfId="11485" xr:uid="{00000000-0005-0000-0000-0000C92D0000}"/>
    <cellStyle name="SAPBEXheaderText 4 2 4" xfId="11486" xr:uid="{00000000-0005-0000-0000-0000CA2D0000}"/>
    <cellStyle name="SAPBEXheaderText 4 2 5" xfId="11487" xr:uid="{00000000-0005-0000-0000-0000CB2D0000}"/>
    <cellStyle name="SAPBEXheaderText 4 3" xfId="11488" xr:uid="{00000000-0005-0000-0000-0000CC2D0000}"/>
    <cellStyle name="SAPBEXheaderText 4 4" xfId="11489" xr:uid="{00000000-0005-0000-0000-0000CD2D0000}"/>
    <cellStyle name="SAPBEXheaderText 4 5" xfId="11490" xr:uid="{00000000-0005-0000-0000-0000CE2D0000}"/>
    <cellStyle name="SAPBEXheaderText 4 6" xfId="11491" xr:uid="{00000000-0005-0000-0000-0000CF2D0000}"/>
    <cellStyle name="SAPBEXheaderText 5" xfId="11492" xr:uid="{00000000-0005-0000-0000-0000D02D0000}"/>
    <cellStyle name="SAPBEXheaderText 5 2" xfId="11493" xr:uid="{00000000-0005-0000-0000-0000D12D0000}"/>
    <cellStyle name="SAPBEXheaderText 5 2 2" xfId="11494" xr:uid="{00000000-0005-0000-0000-0000D22D0000}"/>
    <cellStyle name="SAPBEXheaderText 5 2 3" xfId="11495" xr:uid="{00000000-0005-0000-0000-0000D32D0000}"/>
    <cellStyle name="SAPBEXheaderText 5 2 4" xfId="11496" xr:uid="{00000000-0005-0000-0000-0000D42D0000}"/>
    <cellStyle name="SAPBEXheaderText 5 2 5" xfId="11497" xr:uid="{00000000-0005-0000-0000-0000D52D0000}"/>
    <cellStyle name="SAPBEXheaderText 5 3" xfId="11498" xr:uid="{00000000-0005-0000-0000-0000D62D0000}"/>
    <cellStyle name="SAPBEXheaderText 5 4" xfId="11499" xr:uid="{00000000-0005-0000-0000-0000D72D0000}"/>
    <cellStyle name="SAPBEXheaderText 5 5" xfId="11500" xr:uid="{00000000-0005-0000-0000-0000D82D0000}"/>
    <cellStyle name="SAPBEXheaderText 5 6" xfId="11501" xr:uid="{00000000-0005-0000-0000-0000D92D0000}"/>
    <cellStyle name="SAPBEXheaderText 6" xfId="11502" xr:uid="{00000000-0005-0000-0000-0000DA2D0000}"/>
    <cellStyle name="SAPBEXheaderText 6 2" xfId="11503" xr:uid="{00000000-0005-0000-0000-0000DB2D0000}"/>
    <cellStyle name="SAPBEXheaderText 6 2 2" xfId="11504" xr:uid="{00000000-0005-0000-0000-0000DC2D0000}"/>
    <cellStyle name="SAPBEXheaderText 6 2 3" xfId="11505" xr:uid="{00000000-0005-0000-0000-0000DD2D0000}"/>
    <cellStyle name="SAPBEXheaderText 6 3" xfId="11506" xr:uid="{00000000-0005-0000-0000-0000DE2D0000}"/>
    <cellStyle name="SAPBEXheaderText 6 4" xfId="11507" xr:uid="{00000000-0005-0000-0000-0000DF2D0000}"/>
    <cellStyle name="SAPBEXheaderText 7" xfId="11508" xr:uid="{00000000-0005-0000-0000-0000E02D0000}"/>
    <cellStyle name="SAPBEXheaderText 7 2" xfId="11509" xr:uid="{00000000-0005-0000-0000-0000E12D0000}"/>
    <cellStyle name="SAPBEXheaderText 7 2 2" xfId="11510" xr:uid="{00000000-0005-0000-0000-0000E22D0000}"/>
    <cellStyle name="SAPBEXheaderText 7 2 3" xfId="11511" xr:uid="{00000000-0005-0000-0000-0000E32D0000}"/>
    <cellStyle name="SAPBEXheaderText 7 3" xfId="11512" xr:uid="{00000000-0005-0000-0000-0000E42D0000}"/>
    <cellStyle name="SAPBEXheaderText 7 4" xfId="11513" xr:uid="{00000000-0005-0000-0000-0000E52D0000}"/>
    <cellStyle name="SAPBEXheaderText 8" xfId="11514" xr:uid="{00000000-0005-0000-0000-0000E62D0000}"/>
    <cellStyle name="SAPBEXheaderText 8 2" xfId="11515" xr:uid="{00000000-0005-0000-0000-0000E72D0000}"/>
    <cellStyle name="SAPBEXheaderText 8 2 2" xfId="11516" xr:uid="{00000000-0005-0000-0000-0000E82D0000}"/>
    <cellStyle name="SAPBEXheaderText 8 2 3" xfId="11517" xr:uid="{00000000-0005-0000-0000-0000E92D0000}"/>
    <cellStyle name="SAPBEXheaderText 8 3" xfId="11518" xr:uid="{00000000-0005-0000-0000-0000EA2D0000}"/>
    <cellStyle name="SAPBEXheaderText 8 4" xfId="11519" xr:uid="{00000000-0005-0000-0000-0000EB2D0000}"/>
    <cellStyle name="SAPBEXheaderText 9" xfId="11520" xr:uid="{00000000-0005-0000-0000-0000EC2D0000}"/>
    <cellStyle name="SAPBEXheaderText 9 2" xfId="11521" xr:uid="{00000000-0005-0000-0000-0000ED2D0000}"/>
    <cellStyle name="SAPBEXheaderText 9 2 2" xfId="11522" xr:uid="{00000000-0005-0000-0000-0000EE2D0000}"/>
    <cellStyle name="SAPBEXheaderText 9 2 3" xfId="11523" xr:uid="{00000000-0005-0000-0000-0000EF2D0000}"/>
    <cellStyle name="SAPBEXheaderText 9 3" xfId="11524" xr:uid="{00000000-0005-0000-0000-0000F02D0000}"/>
    <cellStyle name="SAPBEXheaderText 9 4" xfId="11525" xr:uid="{00000000-0005-0000-0000-0000F12D0000}"/>
    <cellStyle name="SAPBEXheaderText_KTR An-Abflug" xfId="14886" xr:uid="{00000000-0005-0000-0000-0000F22D0000}"/>
    <cellStyle name="SAPBEXHLevel0" xfId="11526" xr:uid="{00000000-0005-0000-0000-0000F32D0000}"/>
    <cellStyle name="SAPBEXHLevel0 10" xfId="11527" xr:uid="{00000000-0005-0000-0000-0000F42D0000}"/>
    <cellStyle name="SAPBEXHLevel0 10 2" xfId="11528" xr:uid="{00000000-0005-0000-0000-0000F52D0000}"/>
    <cellStyle name="SAPBEXHLevel0 10 2 2" xfId="11529" xr:uid="{00000000-0005-0000-0000-0000F62D0000}"/>
    <cellStyle name="SAPBEXHLevel0 10 2 3" xfId="11530" xr:uid="{00000000-0005-0000-0000-0000F72D0000}"/>
    <cellStyle name="SAPBEXHLevel0 10 3" xfId="11531" xr:uid="{00000000-0005-0000-0000-0000F82D0000}"/>
    <cellStyle name="SAPBEXHLevel0 10 4" xfId="11532" xr:uid="{00000000-0005-0000-0000-0000F92D0000}"/>
    <cellStyle name="SAPBEXHLevel0 11" xfId="11533" xr:uid="{00000000-0005-0000-0000-0000FA2D0000}"/>
    <cellStyle name="SAPBEXHLevel0 11 2" xfId="11534" xr:uid="{00000000-0005-0000-0000-0000FB2D0000}"/>
    <cellStyle name="SAPBEXHLevel0 11 2 2" xfId="11535" xr:uid="{00000000-0005-0000-0000-0000FC2D0000}"/>
    <cellStyle name="SAPBEXHLevel0 11 2 3" xfId="11536" xr:uid="{00000000-0005-0000-0000-0000FD2D0000}"/>
    <cellStyle name="SAPBEXHLevel0 11 3" xfId="11537" xr:uid="{00000000-0005-0000-0000-0000FE2D0000}"/>
    <cellStyle name="SAPBEXHLevel0 11 4" xfId="11538" xr:uid="{00000000-0005-0000-0000-0000FF2D0000}"/>
    <cellStyle name="SAPBEXHLevel0 12" xfId="11539" xr:uid="{00000000-0005-0000-0000-0000002E0000}"/>
    <cellStyle name="SAPBEXHLevel0 12 2" xfId="11540" xr:uid="{00000000-0005-0000-0000-0000012E0000}"/>
    <cellStyle name="SAPBEXHLevel0 12 2 2" xfId="11541" xr:uid="{00000000-0005-0000-0000-0000022E0000}"/>
    <cellStyle name="SAPBEXHLevel0 12 2 3" xfId="11542" xr:uid="{00000000-0005-0000-0000-0000032E0000}"/>
    <cellStyle name="SAPBEXHLevel0 12 3" xfId="11543" xr:uid="{00000000-0005-0000-0000-0000042E0000}"/>
    <cellStyle name="SAPBEXHLevel0 12 4" xfId="11544" xr:uid="{00000000-0005-0000-0000-0000052E0000}"/>
    <cellStyle name="SAPBEXHLevel0 13" xfId="11545" xr:uid="{00000000-0005-0000-0000-0000062E0000}"/>
    <cellStyle name="SAPBEXHLevel0 13 2" xfId="11546" xr:uid="{00000000-0005-0000-0000-0000072E0000}"/>
    <cellStyle name="SAPBEXHLevel0 13 2 2" xfId="11547" xr:uid="{00000000-0005-0000-0000-0000082E0000}"/>
    <cellStyle name="SAPBEXHLevel0 13 2 3" xfId="11548" xr:uid="{00000000-0005-0000-0000-0000092E0000}"/>
    <cellStyle name="SAPBEXHLevel0 13 3" xfId="11549" xr:uid="{00000000-0005-0000-0000-00000A2E0000}"/>
    <cellStyle name="SAPBEXHLevel0 13 4" xfId="11550" xr:uid="{00000000-0005-0000-0000-00000B2E0000}"/>
    <cellStyle name="SAPBEXHLevel0 14" xfId="11551" xr:uid="{00000000-0005-0000-0000-00000C2E0000}"/>
    <cellStyle name="SAPBEXHLevel0 14 2" xfId="11552" xr:uid="{00000000-0005-0000-0000-00000D2E0000}"/>
    <cellStyle name="SAPBEXHLevel0 14 2 2" xfId="11553" xr:uid="{00000000-0005-0000-0000-00000E2E0000}"/>
    <cellStyle name="SAPBEXHLevel0 14 2 3" xfId="11554" xr:uid="{00000000-0005-0000-0000-00000F2E0000}"/>
    <cellStyle name="SAPBEXHLevel0 14 3" xfId="11555" xr:uid="{00000000-0005-0000-0000-0000102E0000}"/>
    <cellStyle name="SAPBEXHLevel0 14 4" xfId="11556" xr:uid="{00000000-0005-0000-0000-0000112E0000}"/>
    <cellStyle name="SAPBEXHLevel0 15" xfId="11557" xr:uid="{00000000-0005-0000-0000-0000122E0000}"/>
    <cellStyle name="SAPBEXHLevel0 15 2" xfId="11558" xr:uid="{00000000-0005-0000-0000-0000132E0000}"/>
    <cellStyle name="SAPBEXHLevel0 15 2 2" xfId="11559" xr:uid="{00000000-0005-0000-0000-0000142E0000}"/>
    <cellStyle name="SAPBEXHLevel0 15 2 3" xfId="11560" xr:uid="{00000000-0005-0000-0000-0000152E0000}"/>
    <cellStyle name="SAPBEXHLevel0 15 3" xfId="11561" xr:uid="{00000000-0005-0000-0000-0000162E0000}"/>
    <cellStyle name="SAPBEXHLevel0 15 4" xfId="11562" xr:uid="{00000000-0005-0000-0000-0000172E0000}"/>
    <cellStyle name="SAPBEXHLevel0 16" xfId="11563" xr:uid="{00000000-0005-0000-0000-0000182E0000}"/>
    <cellStyle name="SAPBEXHLevel0 17" xfId="11564" xr:uid="{00000000-0005-0000-0000-0000192E0000}"/>
    <cellStyle name="SAPBEXHLevel0 18" xfId="11565" xr:uid="{00000000-0005-0000-0000-00001A2E0000}"/>
    <cellStyle name="SAPBEXHLevel0 19" xfId="11566" xr:uid="{00000000-0005-0000-0000-00001B2E0000}"/>
    <cellStyle name="SAPBEXHLevel0 2" xfId="11567" xr:uid="{00000000-0005-0000-0000-00001C2E0000}"/>
    <cellStyle name="SAPBEXHLevel0 2 2" xfId="11568" xr:uid="{00000000-0005-0000-0000-00001D2E0000}"/>
    <cellStyle name="SAPBEXHLevel0 2 2 2" xfId="11569" xr:uid="{00000000-0005-0000-0000-00001E2E0000}"/>
    <cellStyle name="SAPBEXHLevel0 2 2 3" xfId="11570" xr:uid="{00000000-0005-0000-0000-00001F2E0000}"/>
    <cellStyle name="SAPBEXHLevel0 2 3" xfId="11571" xr:uid="{00000000-0005-0000-0000-0000202E0000}"/>
    <cellStyle name="SAPBEXHLevel0 2 4" xfId="11572" xr:uid="{00000000-0005-0000-0000-0000212E0000}"/>
    <cellStyle name="SAPBEXHLevel0 3" xfId="11573" xr:uid="{00000000-0005-0000-0000-0000222E0000}"/>
    <cellStyle name="SAPBEXHLevel0 3 2" xfId="11574" xr:uid="{00000000-0005-0000-0000-0000232E0000}"/>
    <cellStyle name="SAPBEXHLevel0 3 2 2" xfId="11575" xr:uid="{00000000-0005-0000-0000-0000242E0000}"/>
    <cellStyle name="SAPBEXHLevel0 3 2 3" xfId="11576" xr:uid="{00000000-0005-0000-0000-0000252E0000}"/>
    <cellStyle name="SAPBEXHLevel0 3 3" xfId="11577" xr:uid="{00000000-0005-0000-0000-0000262E0000}"/>
    <cellStyle name="SAPBEXHLevel0 3 4" xfId="11578" xr:uid="{00000000-0005-0000-0000-0000272E0000}"/>
    <cellStyle name="SAPBEXHLevel0 4" xfId="11579" xr:uid="{00000000-0005-0000-0000-0000282E0000}"/>
    <cellStyle name="SAPBEXHLevel0 4 2" xfId="11580" xr:uid="{00000000-0005-0000-0000-0000292E0000}"/>
    <cellStyle name="SAPBEXHLevel0 4 2 2" xfId="11581" xr:uid="{00000000-0005-0000-0000-00002A2E0000}"/>
    <cellStyle name="SAPBEXHLevel0 4 2 3" xfId="11582" xr:uid="{00000000-0005-0000-0000-00002B2E0000}"/>
    <cellStyle name="SAPBEXHLevel0 4 3" xfId="11583" xr:uid="{00000000-0005-0000-0000-00002C2E0000}"/>
    <cellStyle name="SAPBEXHLevel0 4 4" xfId="11584" xr:uid="{00000000-0005-0000-0000-00002D2E0000}"/>
    <cellStyle name="SAPBEXHLevel0 5" xfId="11585" xr:uid="{00000000-0005-0000-0000-00002E2E0000}"/>
    <cellStyle name="SAPBEXHLevel0 5 2" xfId="11586" xr:uid="{00000000-0005-0000-0000-00002F2E0000}"/>
    <cellStyle name="SAPBEXHLevel0 5 2 2" xfId="11587" xr:uid="{00000000-0005-0000-0000-0000302E0000}"/>
    <cellStyle name="SAPBEXHLevel0 5 2 3" xfId="11588" xr:uid="{00000000-0005-0000-0000-0000312E0000}"/>
    <cellStyle name="SAPBEXHLevel0 5 3" xfId="11589" xr:uid="{00000000-0005-0000-0000-0000322E0000}"/>
    <cellStyle name="SAPBEXHLevel0 5 4" xfId="11590" xr:uid="{00000000-0005-0000-0000-0000332E0000}"/>
    <cellStyle name="SAPBEXHLevel0 6" xfId="11591" xr:uid="{00000000-0005-0000-0000-0000342E0000}"/>
    <cellStyle name="SAPBEXHLevel0 6 2" xfId="11592" xr:uid="{00000000-0005-0000-0000-0000352E0000}"/>
    <cellStyle name="SAPBEXHLevel0 6 2 2" xfId="11593" xr:uid="{00000000-0005-0000-0000-0000362E0000}"/>
    <cellStyle name="SAPBEXHLevel0 6 2 3" xfId="11594" xr:uid="{00000000-0005-0000-0000-0000372E0000}"/>
    <cellStyle name="SAPBEXHLevel0 6 3" xfId="11595" xr:uid="{00000000-0005-0000-0000-0000382E0000}"/>
    <cellStyle name="SAPBEXHLevel0 6 4" xfId="11596" xr:uid="{00000000-0005-0000-0000-0000392E0000}"/>
    <cellStyle name="SAPBEXHLevel0 7" xfId="11597" xr:uid="{00000000-0005-0000-0000-00003A2E0000}"/>
    <cellStyle name="SAPBEXHLevel0 7 2" xfId="11598" xr:uid="{00000000-0005-0000-0000-00003B2E0000}"/>
    <cellStyle name="SAPBEXHLevel0 7 2 2" xfId="11599" xr:uid="{00000000-0005-0000-0000-00003C2E0000}"/>
    <cellStyle name="SAPBEXHLevel0 7 2 3" xfId="11600" xr:uid="{00000000-0005-0000-0000-00003D2E0000}"/>
    <cellStyle name="SAPBEXHLevel0 7 3" xfId="11601" xr:uid="{00000000-0005-0000-0000-00003E2E0000}"/>
    <cellStyle name="SAPBEXHLevel0 7 4" xfId="11602" xr:uid="{00000000-0005-0000-0000-00003F2E0000}"/>
    <cellStyle name="SAPBEXHLevel0 8" xfId="11603" xr:uid="{00000000-0005-0000-0000-0000402E0000}"/>
    <cellStyle name="SAPBEXHLevel0 8 2" xfId="11604" xr:uid="{00000000-0005-0000-0000-0000412E0000}"/>
    <cellStyle name="SAPBEXHLevel0 8 2 2" xfId="11605" xr:uid="{00000000-0005-0000-0000-0000422E0000}"/>
    <cellStyle name="SAPBEXHLevel0 8 2 3" xfId="11606" xr:uid="{00000000-0005-0000-0000-0000432E0000}"/>
    <cellStyle name="SAPBEXHLevel0 8 3" xfId="11607" xr:uid="{00000000-0005-0000-0000-0000442E0000}"/>
    <cellStyle name="SAPBEXHLevel0 8 4" xfId="11608" xr:uid="{00000000-0005-0000-0000-0000452E0000}"/>
    <cellStyle name="SAPBEXHLevel0 9" xfId="11609" xr:uid="{00000000-0005-0000-0000-0000462E0000}"/>
    <cellStyle name="SAPBEXHLevel0 9 2" xfId="11610" xr:uid="{00000000-0005-0000-0000-0000472E0000}"/>
    <cellStyle name="SAPBEXHLevel0 9 2 2" xfId="11611" xr:uid="{00000000-0005-0000-0000-0000482E0000}"/>
    <cellStyle name="SAPBEXHLevel0 9 2 3" xfId="11612" xr:uid="{00000000-0005-0000-0000-0000492E0000}"/>
    <cellStyle name="SAPBEXHLevel0 9 3" xfId="11613" xr:uid="{00000000-0005-0000-0000-00004A2E0000}"/>
    <cellStyle name="SAPBEXHLevel0 9 4" xfId="11614" xr:uid="{00000000-0005-0000-0000-00004B2E0000}"/>
    <cellStyle name="SAPBEXHLevel0X" xfId="11615" xr:uid="{00000000-0005-0000-0000-00004C2E0000}"/>
    <cellStyle name="SAPBEXHLevel0X 10" xfId="11616" xr:uid="{00000000-0005-0000-0000-00004D2E0000}"/>
    <cellStyle name="SAPBEXHLevel0X 10 2" xfId="11617" xr:uid="{00000000-0005-0000-0000-00004E2E0000}"/>
    <cellStyle name="SAPBEXHLevel0X 10 2 2" xfId="11618" xr:uid="{00000000-0005-0000-0000-00004F2E0000}"/>
    <cellStyle name="SAPBEXHLevel0X 10 2 3" xfId="11619" xr:uid="{00000000-0005-0000-0000-0000502E0000}"/>
    <cellStyle name="SAPBEXHLevel0X 10 3" xfId="11620" xr:uid="{00000000-0005-0000-0000-0000512E0000}"/>
    <cellStyle name="SAPBEXHLevel0X 10 4" xfId="11621" xr:uid="{00000000-0005-0000-0000-0000522E0000}"/>
    <cellStyle name="SAPBEXHLevel0X 11" xfId="11622" xr:uid="{00000000-0005-0000-0000-0000532E0000}"/>
    <cellStyle name="SAPBEXHLevel0X 11 2" xfId="11623" xr:uid="{00000000-0005-0000-0000-0000542E0000}"/>
    <cellStyle name="SAPBEXHLevel0X 11 2 2" xfId="11624" xr:uid="{00000000-0005-0000-0000-0000552E0000}"/>
    <cellStyle name="SAPBEXHLevel0X 11 2 3" xfId="11625" xr:uid="{00000000-0005-0000-0000-0000562E0000}"/>
    <cellStyle name="SAPBEXHLevel0X 11 3" xfId="11626" xr:uid="{00000000-0005-0000-0000-0000572E0000}"/>
    <cellStyle name="SAPBEXHLevel0X 11 4" xfId="11627" xr:uid="{00000000-0005-0000-0000-0000582E0000}"/>
    <cellStyle name="SAPBEXHLevel0X 12" xfId="11628" xr:uid="{00000000-0005-0000-0000-0000592E0000}"/>
    <cellStyle name="SAPBEXHLevel0X 12 2" xfId="11629" xr:uid="{00000000-0005-0000-0000-00005A2E0000}"/>
    <cellStyle name="SAPBEXHLevel0X 12 2 2" xfId="11630" xr:uid="{00000000-0005-0000-0000-00005B2E0000}"/>
    <cellStyle name="SAPBEXHLevel0X 12 2 3" xfId="11631" xr:uid="{00000000-0005-0000-0000-00005C2E0000}"/>
    <cellStyle name="SAPBEXHLevel0X 12 3" xfId="11632" xr:uid="{00000000-0005-0000-0000-00005D2E0000}"/>
    <cellStyle name="SAPBEXHLevel0X 12 4" xfId="11633" xr:uid="{00000000-0005-0000-0000-00005E2E0000}"/>
    <cellStyle name="SAPBEXHLevel0X 13" xfId="11634" xr:uid="{00000000-0005-0000-0000-00005F2E0000}"/>
    <cellStyle name="SAPBEXHLevel0X 13 2" xfId="11635" xr:uid="{00000000-0005-0000-0000-0000602E0000}"/>
    <cellStyle name="SAPBEXHLevel0X 13 2 2" xfId="11636" xr:uid="{00000000-0005-0000-0000-0000612E0000}"/>
    <cellStyle name="SAPBEXHLevel0X 13 2 3" xfId="11637" xr:uid="{00000000-0005-0000-0000-0000622E0000}"/>
    <cellStyle name="SAPBEXHLevel0X 13 3" xfId="11638" xr:uid="{00000000-0005-0000-0000-0000632E0000}"/>
    <cellStyle name="SAPBEXHLevel0X 13 4" xfId="11639" xr:uid="{00000000-0005-0000-0000-0000642E0000}"/>
    <cellStyle name="SAPBEXHLevel0X 14" xfId="11640" xr:uid="{00000000-0005-0000-0000-0000652E0000}"/>
    <cellStyle name="SAPBEXHLevel0X 14 2" xfId="11641" xr:uid="{00000000-0005-0000-0000-0000662E0000}"/>
    <cellStyle name="SAPBEXHLevel0X 14 2 2" xfId="11642" xr:uid="{00000000-0005-0000-0000-0000672E0000}"/>
    <cellStyle name="SAPBEXHLevel0X 14 2 3" xfId="11643" xr:uid="{00000000-0005-0000-0000-0000682E0000}"/>
    <cellStyle name="SAPBEXHLevel0X 14 3" xfId="11644" xr:uid="{00000000-0005-0000-0000-0000692E0000}"/>
    <cellStyle name="SAPBEXHLevel0X 14 4" xfId="11645" xr:uid="{00000000-0005-0000-0000-00006A2E0000}"/>
    <cellStyle name="SAPBEXHLevel0X 15" xfId="11646" xr:uid="{00000000-0005-0000-0000-00006B2E0000}"/>
    <cellStyle name="SAPBEXHLevel0X 15 2" xfId="11647" xr:uid="{00000000-0005-0000-0000-00006C2E0000}"/>
    <cellStyle name="SAPBEXHLevel0X 15 2 2" xfId="11648" xr:uid="{00000000-0005-0000-0000-00006D2E0000}"/>
    <cellStyle name="SAPBEXHLevel0X 15 2 3" xfId="11649" xr:uid="{00000000-0005-0000-0000-00006E2E0000}"/>
    <cellStyle name="SAPBEXHLevel0X 15 3" xfId="11650" xr:uid="{00000000-0005-0000-0000-00006F2E0000}"/>
    <cellStyle name="SAPBEXHLevel0X 15 4" xfId="11651" xr:uid="{00000000-0005-0000-0000-0000702E0000}"/>
    <cellStyle name="SAPBEXHLevel0X 16" xfId="11652" xr:uid="{00000000-0005-0000-0000-0000712E0000}"/>
    <cellStyle name="SAPBEXHLevel0X 17" xfId="11653" xr:uid="{00000000-0005-0000-0000-0000722E0000}"/>
    <cellStyle name="SAPBEXHLevel0X 18" xfId="11654" xr:uid="{00000000-0005-0000-0000-0000732E0000}"/>
    <cellStyle name="SAPBEXHLevel0X 19" xfId="11655" xr:uid="{00000000-0005-0000-0000-0000742E0000}"/>
    <cellStyle name="SAPBEXHLevel0X 2" xfId="11656" xr:uid="{00000000-0005-0000-0000-0000752E0000}"/>
    <cellStyle name="SAPBEXHLevel0X 2 2" xfId="11657" xr:uid="{00000000-0005-0000-0000-0000762E0000}"/>
    <cellStyle name="SAPBEXHLevel0X 2 2 2" xfId="11658" xr:uid="{00000000-0005-0000-0000-0000772E0000}"/>
    <cellStyle name="SAPBEXHLevel0X 2 2 3" xfId="11659" xr:uid="{00000000-0005-0000-0000-0000782E0000}"/>
    <cellStyle name="SAPBEXHLevel0X 2 3" xfId="11660" xr:uid="{00000000-0005-0000-0000-0000792E0000}"/>
    <cellStyle name="SAPBEXHLevel0X 2 4" xfId="11661" xr:uid="{00000000-0005-0000-0000-00007A2E0000}"/>
    <cellStyle name="SAPBEXHLevel0X 3" xfId="11662" xr:uid="{00000000-0005-0000-0000-00007B2E0000}"/>
    <cellStyle name="SAPBEXHLevel0X 3 2" xfId="11663" xr:uid="{00000000-0005-0000-0000-00007C2E0000}"/>
    <cellStyle name="SAPBEXHLevel0X 3 2 2" xfId="11664" xr:uid="{00000000-0005-0000-0000-00007D2E0000}"/>
    <cellStyle name="SAPBEXHLevel0X 3 2 3" xfId="11665" xr:uid="{00000000-0005-0000-0000-00007E2E0000}"/>
    <cellStyle name="SAPBEXHLevel0X 3 3" xfId="11666" xr:uid="{00000000-0005-0000-0000-00007F2E0000}"/>
    <cellStyle name="SAPBEXHLevel0X 3 4" xfId="11667" xr:uid="{00000000-0005-0000-0000-0000802E0000}"/>
    <cellStyle name="SAPBEXHLevel0X 4" xfId="11668" xr:uid="{00000000-0005-0000-0000-0000812E0000}"/>
    <cellStyle name="SAPBEXHLevel0X 4 2" xfId="11669" xr:uid="{00000000-0005-0000-0000-0000822E0000}"/>
    <cellStyle name="SAPBEXHLevel0X 4 2 2" xfId="11670" xr:uid="{00000000-0005-0000-0000-0000832E0000}"/>
    <cellStyle name="SAPBEXHLevel0X 4 2 3" xfId="11671" xr:uid="{00000000-0005-0000-0000-0000842E0000}"/>
    <cellStyle name="SAPBEXHLevel0X 4 3" xfId="11672" xr:uid="{00000000-0005-0000-0000-0000852E0000}"/>
    <cellStyle name="SAPBEXHLevel0X 4 4" xfId="11673" xr:uid="{00000000-0005-0000-0000-0000862E0000}"/>
    <cellStyle name="SAPBEXHLevel0X 5" xfId="11674" xr:uid="{00000000-0005-0000-0000-0000872E0000}"/>
    <cellStyle name="SAPBEXHLevel0X 5 2" xfId="11675" xr:uid="{00000000-0005-0000-0000-0000882E0000}"/>
    <cellStyle name="SAPBEXHLevel0X 5 2 2" xfId="11676" xr:uid="{00000000-0005-0000-0000-0000892E0000}"/>
    <cellStyle name="SAPBEXHLevel0X 5 2 3" xfId="11677" xr:uid="{00000000-0005-0000-0000-00008A2E0000}"/>
    <cellStyle name="SAPBEXHLevel0X 5 3" xfId="11678" xr:uid="{00000000-0005-0000-0000-00008B2E0000}"/>
    <cellStyle name="SAPBEXHLevel0X 5 4" xfId="11679" xr:uid="{00000000-0005-0000-0000-00008C2E0000}"/>
    <cellStyle name="SAPBEXHLevel0X 6" xfId="11680" xr:uid="{00000000-0005-0000-0000-00008D2E0000}"/>
    <cellStyle name="SAPBEXHLevel0X 6 2" xfId="11681" xr:uid="{00000000-0005-0000-0000-00008E2E0000}"/>
    <cellStyle name="SAPBEXHLevel0X 6 2 2" xfId="11682" xr:uid="{00000000-0005-0000-0000-00008F2E0000}"/>
    <cellStyle name="SAPBEXHLevel0X 6 2 3" xfId="11683" xr:uid="{00000000-0005-0000-0000-0000902E0000}"/>
    <cellStyle name="SAPBEXHLevel0X 6 3" xfId="11684" xr:uid="{00000000-0005-0000-0000-0000912E0000}"/>
    <cellStyle name="SAPBEXHLevel0X 6 4" xfId="11685" xr:uid="{00000000-0005-0000-0000-0000922E0000}"/>
    <cellStyle name="SAPBEXHLevel0X 7" xfId="11686" xr:uid="{00000000-0005-0000-0000-0000932E0000}"/>
    <cellStyle name="SAPBEXHLevel0X 7 2" xfId="11687" xr:uid="{00000000-0005-0000-0000-0000942E0000}"/>
    <cellStyle name="SAPBEXHLevel0X 7 2 2" xfId="11688" xr:uid="{00000000-0005-0000-0000-0000952E0000}"/>
    <cellStyle name="SAPBEXHLevel0X 7 2 3" xfId="11689" xr:uid="{00000000-0005-0000-0000-0000962E0000}"/>
    <cellStyle name="SAPBEXHLevel0X 7 3" xfId="11690" xr:uid="{00000000-0005-0000-0000-0000972E0000}"/>
    <cellStyle name="SAPBEXHLevel0X 7 4" xfId="11691" xr:uid="{00000000-0005-0000-0000-0000982E0000}"/>
    <cellStyle name="SAPBEXHLevel0X 8" xfId="11692" xr:uid="{00000000-0005-0000-0000-0000992E0000}"/>
    <cellStyle name="SAPBEXHLevel0X 8 2" xfId="11693" xr:uid="{00000000-0005-0000-0000-00009A2E0000}"/>
    <cellStyle name="SAPBEXHLevel0X 8 2 2" xfId="11694" xr:uid="{00000000-0005-0000-0000-00009B2E0000}"/>
    <cellStyle name="SAPBEXHLevel0X 8 2 3" xfId="11695" xr:uid="{00000000-0005-0000-0000-00009C2E0000}"/>
    <cellStyle name="SAPBEXHLevel0X 8 3" xfId="11696" xr:uid="{00000000-0005-0000-0000-00009D2E0000}"/>
    <cellStyle name="SAPBEXHLevel0X 8 4" xfId="11697" xr:uid="{00000000-0005-0000-0000-00009E2E0000}"/>
    <cellStyle name="SAPBEXHLevel0X 9" xfId="11698" xr:uid="{00000000-0005-0000-0000-00009F2E0000}"/>
    <cellStyle name="SAPBEXHLevel0X 9 2" xfId="11699" xr:uid="{00000000-0005-0000-0000-0000A02E0000}"/>
    <cellStyle name="SAPBEXHLevel0X 9 2 2" xfId="11700" xr:uid="{00000000-0005-0000-0000-0000A12E0000}"/>
    <cellStyle name="SAPBEXHLevel0X 9 2 3" xfId="11701" xr:uid="{00000000-0005-0000-0000-0000A22E0000}"/>
    <cellStyle name="SAPBEXHLevel0X 9 3" xfId="11702" xr:uid="{00000000-0005-0000-0000-0000A32E0000}"/>
    <cellStyle name="SAPBEXHLevel0X 9 4" xfId="11703" xr:uid="{00000000-0005-0000-0000-0000A42E0000}"/>
    <cellStyle name="SAPBEXHLevel1" xfId="11704" xr:uid="{00000000-0005-0000-0000-0000A52E0000}"/>
    <cellStyle name="SAPBEXHLevel1 10" xfId="11705" xr:uid="{00000000-0005-0000-0000-0000A62E0000}"/>
    <cellStyle name="SAPBEXHLevel1 10 2" xfId="11706" xr:uid="{00000000-0005-0000-0000-0000A72E0000}"/>
    <cellStyle name="SAPBEXHLevel1 10 2 2" xfId="11707" xr:uid="{00000000-0005-0000-0000-0000A82E0000}"/>
    <cellStyle name="SAPBEXHLevel1 10 2 3" xfId="11708" xr:uid="{00000000-0005-0000-0000-0000A92E0000}"/>
    <cellStyle name="SAPBEXHLevel1 10 3" xfId="11709" xr:uid="{00000000-0005-0000-0000-0000AA2E0000}"/>
    <cellStyle name="SAPBEXHLevel1 10 4" xfId="11710" xr:uid="{00000000-0005-0000-0000-0000AB2E0000}"/>
    <cellStyle name="SAPBEXHLevel1 11" xfId="11711" xr:uid="{00000000-0005-0000-0000-0000AC2E0000}"/>
    <cellStyle name="SAPBEXHLevel1 11 2" xfId="11712" xr:uid="{00000000-0005-0000-0000-0000AD2E0000}"/>
    <cellStyle name="SAPBEXHLevel1 11 2 2" xfId="11713" xr:uid="{00000000-0005-0000-0000-0000AE2E0000}"/>
    <cellStyle name="SAPBEXHLevel1 11 2 3" xfId="11714" xr:uid="{00000000-0005-0000-0000-0000AF2E0000}"/>
    <cellStyle name="SAPBEXHLevel1 11 3" xfId="11715" xr:uid="{00000000-0005-0000-0000-0000B02E0000}"/>
    <cellStyle name="SAPBEXHLevel1 11 4" xfId="11716" xr:uid="{00000000-0005-0000-0000-0000B12E0000}"/>
    <cellStyle name="SAPBEXHLevel1 12" xfId="11717" xr:uid="{00000000-0005-0000-0000-0000B22E0000}"/>
    <cellStyle name="SAPBEXHLevel1 12 2" xfId="11718" xr:uid="{00000000-0005-0000-0000-0000B32E0000}"/>
    <cellStyle name="SAPBEXHLevel1 12 2 2" xfId="11719" xr:uid="{00000000-0005-0000-0000-0000B42E0000}"/>
    <cellStyle name="SAPBEXHLevel1 12 2 3" xfId="11720" xr:uid="{00000000-0005-0000-0000-0000B52E0000}"/>
    <cellStyle name="SAPBEXHLevel1 12 3" xfId="11721" xr:uid="{00000000-0005-0000-0000-0000B62E0000}"/>
    <cellStyle name="SAPBEXHLevel1 12 4" xfId="11722" xr:uid="{00000000-0005-0000-0000-0000B72E0000}"/>
    <cellStyle name="SAPBEXHLevel1 13" xfId="11723" xr:uid="{00000000-0005-0000-0000-0000B82E0000}"/>
    <cellStyle name="SAPBEXHLevel1 13 2" xfId="11724" xr:uid="{00000000-0005-0000-0000-0000B92E0000}"/>
    <cellStyle name="SAPBEXHLevel1 13 2 2" xfId="11725" xr:uid="{00000000-0005-0000-0000-0000BA2E0000}"/>
    <cellStyle name="SAPBEXHLevel1 13 2 3" xfId="11726" xr:uid="{00000000-0005-0000-0000-0000BB2E0000}"/>
    <cellStyle name="SAPBEXHLevel1 13 3" xfId="11727" xr:uid="{00000000-0005-0000-0000-0000BC2E0000}"/>
    <cellStyle name="SAPBEXHLevel1 13 4" xfId="11728" xr:uid="{00000000-0005-0000-0000-0000BD2E0000}"/>
    <cellStyle name="SAPBEXHLevel1 14" xfId="11729" xr:uid="{00000000-0005-0000-0000-0000BE2E0000}"/>
    <cellStyle name="SAPBEXHLevel1 14 2" xfId="11730" xr:uid="{00000000-0005-0000-0000-0000BF2E0000}"/>
    <cellStyle name="SAPBEXHLevel1 14 2 2" xfId="11731" xr:uid="{00000000-0005-0000-0000-0000C02E0000}"/>
    <cellStyle name="SAPBEXHLevel1 14 2 3" xfId="11732" xr:uid="{00000000-0005-0000-0000-0000C12E0000}"/>
    <cellStyle name="SAPBEXHLevel1 14 3" xfId="11733" xr:uid="{00000000-0005-0000-0000-0000C22E0000}"/>
    <cellStyle name="SAPBEXHLevel1 14 4" xfId="11734" xr:uid="{00000000-0005-0000-0000-0000C32E0000}"/>
    <cellStyle name="SAPBEXHLevel1 15" xfId="11735" xr:uid="{00000000-0005-0000-0000-0000C42E0000}"/>
    <cellStyle name="SAPBEXHLevel1 15 2" xfId="11736" xr:uid="{00000000-0005-0000-0000-0000C52E0000}"/>
    <cellStyle name="SAPBEXHLevel1 15 2 2" xfId="11737" xr:uid="{00000000-0005-0000-0000-0000C62E0000}"/>
    <cellStyle name="SAPBEXHLevel1 15 2 3" xfId="11738" xr:uid="{00000000-0005-0000-0000-0000C72E0000}"/>
    <cellStyle name="SAPBEXHLevel1 15 3" xfId="11739" xr:uid="{00000000-0005-0000-0000-0000C82E0000}"/>
    <cellStyle name="SAPBEXHLevel1 15 4" xfId="11740" xr:uid="{00000000-0005-0000-0000-0000C92E0000}"/>
    <cellStyle name="SAPBEXHLevel1 16" xfId="11741" xr:uid="{00000000-0005-0000-0000-0000CA2E0000}"/>
    <cellStyle name="SAPBEXHLevel1 17" xfId="11742" xr:uid="{00000000-0005-0000-0000-0000CB2E0000}"/>
    <cellStyle name="SAPBEXHLevel1 18" xfId="11743" xr:uid="{00000000-0005-0000-0000-0000CC2E0000}"/>
    <cellStyle name="SAPBEXHLevel1 19" xfId="11744" xr:uid="{00000000-0005-0000-0000-0000CD2E0000}"/>
    <cellStyle name="SAPBEXHLevel1 2" xfId="11745" xr:uid="{00000000-0005-0000-0000-0000CE2E0000}"/>
    <cellStyle name="SAPBEXHLevel1 2 2" xfId="11746" xr:uid="{00000000-0005-0000-0000-0000CF2E0000}"/>
    <cellStyle name="SAPBEXHLevel1 2 2 2" xfId="11747" xr:uid="{00000000-0005-0000-0000-0000D02E0000}"/>
    <cellStyle name="SAPBEXHLevel1 2 2 3" xfId="11748" xr:uid="{00000000-0005-0000-0000-0000D12E0000}"/>
    <cellStyle name="SAPBEXHLevel1 2 3" xfId="11749" xr:uid="{00000000-0005-0000-0000-0000D22E0000}"/>
    <cellStyle name="SAPBEXHLevel1 2 4" xfId="11750" xr:uid="{00000000-0005-0000-0000-0000D32E0000}"/>
    <cellStyle name="SAPBEXHLevel1 3" xfId="11751" xr:uid="{00000000-0005-0000-0000-0000D42E0000}"/>
    <cellStyle name="SAPBEXHLevel1 3 2" xfId="11752" xr:uid="{00000000-0005-0000-0000-0000D52E0000}"/>
    <cellStyle name="SAPBEXHLevel1 3 2 2" xfId="11753" xr:uid="{00000000-0005-0000-0000-0000D62E0000}"/>
    <cellStyle name="SAPBEXHLevel1 3 2 3" xfId="11754" xr:uid="{00000000-0005-0000-0000-0000D72E0000}"/>
    <cellStyle name="SAPBEXHLevel1 3 3" xfId="11755" xr:uid="{00000000-0005-0000-0000-0000D82E0000}"/>
    <cellStyle name="SAPBEXHLevel1 3 4" xfId="11756" xr:uid="{00000000-0005-0000-0000-0000D92E0000}"/>
    <cellStyle name="SAPBEXHLevel1 4" xfId="11757" xr:uid="{00000000-0005-0000-0000-0000DA2E0000}"/>
    <cellStyle name="SAPBEXHLevel1 4 2" xfId="11758" xr:uid="{00000000-0005-0000-0000-0000DB2E0000}"/>
    <cellStyle name="SAPBEXHLevel1 4 2 2" xfId="11759" xr:uid="{00000000-0005-0000-0000-0000DC2E0000}"/>
    <cellStyle name="SAPBEXHLevel1 4 2 3" xfId="11760" xr:uid="{00000000-0005-0000-0000-0000DD2E0000}"/>
    <cellStyle name="SAPBEXHLevel1 4 3" xfId="11761" xr:uid="{00000000-0005-0000-0000-0000DE2E0000}"/>
    <cellStyle name="SAPBEXHLevel1 4 4" xfId="11762" xr:uid="{00000000-0005-0000-0000-0000DF2E0000}"/>
    <cellStyle name="SAPBEXHLevel1 5" xfId="11763" xr:uid="{00000000-0005-0000-0000-0000E02E0000}"/>
    <cellStyle name="SAPBEXHLevel1 5 2" xfId="11764" xr:uid="{00000000-0005-0000-0000-0000E12E0000}"/>
    <cellStyle name="SAPBEXHLevel1 5 2 2" xfId="11765" xr:uid="{00000000-0005-0000-0000-0000E22E0000}"/>
    <cellStyle name="SAPBEXHLevel1 5 2 3" xfId="11766" xr:uid="{00000000-0005-0000-0000-0000E32E0000}"/>
    <cellStyle name="SAPBEXHLevel1 5 3" xfId="11767" xr:uid="{00000000-0005-0000-0000-0000E42E0000}"/>
    <cellStyle name="SAPBEXHLevel1 5 4" xfId="11768" xr:uid="{00000000-0005-0000-0000-0000E52E0000}"/>
    <cellStyle name="SAPBEXHLevel1 6" xfId="11769" xr:uid="{00000000-0005-0000-0000-0000E62E0000}"/>
    <cellStyle name="SAPBEXHLevel1 6 2" xfId="11770" xr:uid="{00000000-0005-0000-0000-0000E72E0000}"/>
    <cellStyle name="SAPBEXHLevel1 6 2 2" xfId="11771" xr:uid="{00000000-0005-0000-0000-0000E82E0000}"/>
    <cellStyle name="SAPBEXHLevel1 6 2 3" xfId="11772" xr:uid="{00000000-0005-0000-0000-0000E92E0000}"/>
    <cellStyle name="SAPBEXHLevel1 6 3" xfId="11773" xr:uid="{00000000-0005-0000-0000-0000EA2E0000}"/>
    <cellStyle name="SAPBEXHLevel1 6 4" xfId="11774" xr:uid="{00000000-0005-0000-0000-0000EB2E0000}"/>
    <cellStyle name="SAPBEXHLevel1 7" xfId="11775" xr:uid="{00000000-0005-0000-0000-0000EC2E0000}"/>
    <cellStyle name="SAPBEXHLevel1 7 2" xfId="11776" xr:uid="{00000000-0005-0000-0000-0000ED2E0000}"/>
    <cellStyle name="SAPBEXHLevel1 7 2 2" xfId="11777" xr:uid="{00000000-0005-0000-0000-0000EE2E0000}"/>
    <cellStyle name="SAPBEXHLevel1 7 2 3" xfId="11778" xr:uid="{00000000-0005-0000-0000-0000EF2E0000}"/>
    <cellStyle name="SAPBEXHLevel1 7 3" xfId="11779" xr:uid="{00000000-0005-0000-0000-0000F02E0000}"/>
    <cellStyle name="SAPBEXHLevel1 7 4" xfId="11780" xr:uid="{00000000-0005-0000-0000-0000F12E0000}"/>
    <cellStyle name="SAPBEXHLevel1 8" xfId="11781" xr:uid="{00000000-0005-0000-0000-0000F22E0000}"/>
    <cellStyle name="SAPBEXHLevel1 8 2" xfId="11782" xr:uid="{00000000-0005-0000-0000-0000F32E0000}"/>
    <cellStyle name="SAPBEXHLevel1 8 2 2" xfId="11783" xr:uid="{00000000-0005-0000-0000-0000F42E0000}"/>
    <cellStyle name="SAPBEXHLevel1 8 2 3" xfId="11784" xr:uid="{00000000-0005-0000-0000-0000F52E0000}"/>
    <cellStyle name="SAPBEXHLevel1 8 3" xfId="11785" xr:uid="{00000000-0005-0000-0000-0000F62E0000}"/>
    <cellStyle name="SAPBEXHLevel1 8 4" xfId="11786" xr:uid="{00000000-0005-0000-0000-0000F72E0000}"/>
    <cellStyle name="SAPBEXHLevel1 9" xfId="11787" xr:uid="{00000000-0005-0000-0000-0000F82E0000}"/>
    <cellStyle name="SAPBEXHLevel1 9 2" xfId="11788" xr:uid="{00000000-0005-0000-0000-0000F92E0000}"/>
    <cellStyle name="SAPBEXHLevel1 9 2 2" xfId="11789" xr:uid="{00000000-0005-0000-0000-0000FA2E0000}"/>
    <cellStyle name="SAPBEXHLevel1 9 2 3" xfId="11790" xr:uid="{00000000-0005-0000-0000-0000FB2E0000}"/>
    <cellStyle name="SAPBEXHLevel1 9 3" xfId="11791" xr:uid="{00000000-0005-0000-0000-0000FC2E0000}"/>
    <cellStyle name="SAPBEXHLevel1 9 4" xfId="11792" xr:uid="{00000000-0005-0000-0000-0000FD2E0000}"/>
    <cellStyle name="SAPBEXHLevel1X" xfId="11793" xr:uid="{00000000-0005-0000-0000-0000FE2E0000}"/>
    <cellStyle name="SAPBEXHLevel1X 10" xfId="11794" xr:uid="{00000000-0005-0000-0000-0000FF2E0000}"/>
    <cellStyle name="SAPBEXHLevel1X 10 2" xfId="11795" xr:uid="{00000000-0005-0000-0000-0000002F0000}"/>
    <cellStyle name="SAPBEXHLevel1X 10 2 2" xfId="11796" xr:uid="{00000000-0005-0000-0000-0000012F0000}"/>
    <cellStyle name="SAPBEXHLevel1X 10 2 3" xfId="11797" xr:uid="{00000000-0005-0000-0000-0000022F0000}"/>
    <cellStyle name="SAPBEXHLevel1X 10 3" xfId="11798" xr:uid="{00000000-0005-0000-0000-0000032F0000}"/>
    <cellStyle name="SAPBEXHLevel1X 10 4" xfId="11799" xr:uid="{00000000-0005-0000-0000-0000042F0000}"/>
    <cellStyle name="SAPBEXHLevel1X 11" xfId="11800" xr:uid="{00000000-0005-0000-0000-0000052F0000}"/>
    <cellStyle name="SAPBEXHLevel1X 11 2" xfId="11801" xr:uid="{00000000-0005-0000-0000-0000062F0000}"/>
    <cellStyle name="SAPBEXHLevel1X 11 2 2" xfId="11802" xr:uid="{00000000-0005-0000-0000-0000072F0000}"/>
    <cellStyle name="SAPBEXHLevel1X 11 2 3" xfId="11803" xr:uid="{00000000-0005-0000-0000-0000082F0000}"/>
    <cellStyle name="SAPBEXHLevel1X 11 3" xfId="11804" xr:uid="{00000000-0005-0000-0000-0000092F0000}"/>
    <cellStyle name="SAPBEXHLevel1X 11 4" xfId="11805" xr:uid="{00000000-0005-0000-0000-00000A2F0000}"/>
    <cellStyle name="SAPBEXHLevel1X 12" xfId="11806" xr:uid="{00000000-0005-0000-0000-00000B2F0000}"/>
    <cellStyle name="SAPBEXHLevel1X 12 2" xfId="11807" xr:uid="{00000000-0005-0000-0000-00000C2F0000}"/>
    <cellStyle name="SAPBEXHLevel1X 12 2 2" xfId="11808" xr:uid="{00000000-0005-0000-0000-00000D2F0000}"/>
    <cellStyle name="SAPBEXHLevel1X 12 2 3" xfId="11809" xr:uid="{00000000-0005-0000-0000-00000E2F0000}"/>
    <cellStyle name="SAPBEXHLevel1X 12 3" xfId="11810" xr:uid="{00000000-0005-0000-0000-00000F2F0000}"/>
    <cellStyle name="SAPBEXHLevel1X 12 4" xfId="11811" xr:uid="{00000000-0005-0000-0000-0000102F0000}"/>
    <cellStyle name="SAPBEXHLevel1X 13" xfId="11812" xr:uid="{00000000-0005-0000-0000-0000112F0000}"/>
    <cellStyle name="SAPBEXHLevel1X 13 2" xfId="11813" xr:uid="{00000000-0005-0000-0000-0000122F0000}"/>
    <cellStyle name="SAPBEXHLevel1X 13 2 2" xfId="11814" xr:uid="{00000000-0005-0000-0000-0000132F0000}"/>
    <cellStyle name="SAPBEXHLevel1X 13 2 3" xfId="11815" xr:uid="{00000000-0005-0000-0000-0000142F0000}"/>
    <cellStyle name="SAPBEXHLevel1X 13 3" xfId="11816" xr:uid="{00000000-0005-0000-0000-0000152F0000}"/>
    <cellStyle name="SAPBEXHLevel1X 13 4" xfId="11817" xr:uid="{00000000-0005-0000-0000-0000162F0000}"/>
    <cellStyle name="SAPBEXHLevel1X 14" xfId="11818" xr:uid="{00000000-0005-0000-0000-0000172F0000}"/>
    <cellStyle name="SAPBEXHLevel1X 14 2" xfId="11819" xr:uid="{00000000-0005-0000-0000-0000182F0000}"/>
    <cellStyle name="SAPBEXHLevel1X 14 2 2" xfId="11820" xr:uid="{00000000-0005-0000-0000-0000192F0000}"/>
    <cellStyle name="SAPBEXHLevel1X 14 2 3" xfId="11821" xr:uid="{00000000-0005-0000-0000-00001A2F0000}"/>
    <cellStyle name="SAPBEXHLevel1X 14 3" xfId="11822" xr:uid="{00000000-0005-0000-0000-00001B2F0000}"/>
    <cellStyle name="SAPBEXHLevel1X 14 4" xfId="11823" xr:uid="{00000000-0005-0000-0000-00001C2F0000}"/>
    <cellStyle name="SAPBEXHLevel1X 15" xfId="11824" xr:uid="{00000000-0005-0000-0000-00001D2F0000}"/>
    <cellStyle name="SAPBEXHLevel1X 15 2" xfId="11825" xr:uid="{00000000-0005-0000-0000-00001E2F0000}"/>
    <cellStyle name="SAPBEXHLevel1X 15 2 2" xfId="11826" xr:uid="{00000000-0005-0000-0000-00001F2F0000}"/>
    <cellStyle name="SAPBEXHLevel1X 15 2 3" xfId="11827" xr:uid="{00000000-0005-0000-0000-0000202F0000}"/>
    <cellStyle name="SAPBEXHLevel1X 15 3" xfId="11828" xr:uid="{00000000-0005-0000-0000-0000212F0000}"/>
    <cellStyle name="SAPBEXHLevel1X 15 4" xfId="11829" xr:uid="{00000000-0005-0000-0000-0000222F0000}"/>
    <cellStyle name="SAPBEXHLevel1X 16" xfId="11830" xr:uid="{00000000-0005-0000-0000-0000232F0000}"/>
    <cellStyle name="SAPBEXHLevel1X 17" xfId="11831" xr:uid="{00000000-0005-0000-0000-0000242F0000}"/>
    <cellStyle name="SAPBEXHLevel1X 18" xfId="11832" xr:uid="{00000000-0005-0000-0000-0000252F0000}"/>
    <cellStyle name="SAPBEXHLevel1X 19" xfId="11833" xr:uid="{00000000-0005-0000-0000-0000262F0000}"/>
    <cellStyle name="SAPBEXHLevel1X 2" xfId="11834" xr:uid="{00000000-0005-0000-0000-0000272F0000}"/>
    <cellStyle name="SAPBEXHLevel1X 2 2" xfId="11835" xr:uid="{00000000-0005-0000-0000-0000282F0000}"/>
    <cellStyle name="SAPBEXHLevel1X 2 2 2" xfId="11836" xr:uid="{00000000-0005-0000-0000-0000292F0000}"/>
    <cellStyle name="SAPBEXHLevel1X 2 2 3" xfId="11837" xr:uid="{00000000-0005-0000-0000-00002A2F0000}"/>
    <cellStyle name="SAPBEXHLevel1X 2 3" xfId="11838" xr:uid="{00000000-0005-0000-0000-00002B2F0000}"/>
    <cellStyle name="SAPBEXHLevel1X 2 4" xfId="11839" xr:uid="{00000000-0005-0000-0000-00002C2F0000}"/>
    <cellStyle name="SAPBEXHLevel1X 3" xfId="11840" xr:uid="{00000000-0005-0000-0000-00002D2F0000}"/>
    <cellStyle name="SAPBEXHLevel1X 3 2" xfId="11841" xr:uid="{00000000-0005-0000-0000-00002E2F0000}"/>
    <cellStyle name="SAPBEXHLevel1X 3 2 2" xfId="11842" xr:uid="{00000000-0005-0000-0000-00002F2F0000}"/>
    <cellStyle name="SAPBEXHLevel1X 3 2 3" xfId="11843" xr:uid="{00000000-0005-0000-0000-0000302F0000}"/>
    <cellStyle name="SAPBEXHLevel1X 3 3" xfId="11844" xr:uid="{00000000-0005-0000-0000-0000312F0000}"/>
    <cellStyle name="SAPBEXHLevel1X 3 4" xfId="11845" xr:uid="{00000000-0005-0000-0000-0000322F0000}"/>
    <cellStyle name="SAPBEXHLevel1X 4" xfId="11846" xr:uid="{00000000-0005-0000-0000-0000332F0000}"/>
    <cellStyle name="SAPBEXHLevel1X 4 2" xfId="11847" xr:uid="{00000000-0005-0000-0000-0000342F0000}"/>
    <cellStyle name="SAPBEXHLevel1X 4 2 2" xfId="11848" xr:uid="{00000000-0005-0000-0000-0000352F0000}"/>
    <cellStyle name="SAPBEXHLevel1X 4 2 3" xfId="11849" xr:uid="{00000000-0005-0000-0000-0000362F0000}"/>
    <cellStyle name="SAPBEXHLevel1X 4 3" xfId="11850" xr:uid="{00000000-0005-0000-0000-0000372F0000}"/>
    <cellStyle name="SAPBEXHLevel1X 4 4" xfId="11851" xr:uid="{00000000-0005-0000-0000-0000382F0000}"/>
    <cellStyle name="SAPBEXHLevel1X 5" xfId="11852" xr:uid="{00000000-0005-0000-0000-0000392F0000}"/>
    <cellStyle name="SAPBEXHLevel1X 5 2" xfId="11853" xr:uid="{00000000-0005-0000-0000-00003A2F0000}"/>
    <cellStyle name="SAPBEXHLevel1X 5 2 2" xfId="11854" xr:uid="{00000000-0005-0000-0000-00003B2F0000}"/>
    <cellStyle name="SAPBEXHLevel1X 5 2 3" xfId="11855" xr:uid="{00000000-0005-0000-0000-00003C2F0000}"/>
    <cellStyle name="SAPBEXHLevel1X 5 3" xfId="11856" xr:uid="{00000000-0005-0000-0000-00003D2F0000}"/>
    <cellStyle name="SAPBEXHLevel1X 5 4" xfId="11857" xr:uid="{00000000-0005-0000-0000-00003E2F0000}"/>
    <cellStyle name="SAPBEXHLevel1X 6" xfId="11858" xr:uid="{00000000-0005-0000-0000-00003F2F0000}"/>
    <cellStyle name="SAPBEXHLevel1X 6 2" xfId="11859" xr:uid="{00000000-0005-0000-0000-0000402F0000}"/>
    <cellStyle name="SAPBEXHLevel1X 6 2 2" xfId="11860" xr:uid="{00000000-0005-0000-0000-0000412F0000}"/>
    <cellStyle name="SAPBEXHLevel1X 6 2 3" xfId="11861" xr:uid="{00000000-0005-0000-0000-0000422F0000}"/>
    <cellStyle name="SAPBEXHLevel1X 6 3" xfId="11862" xr:uid="{00000000-0005-0000-0000-0000432F0000}"/>
    <cellStyle name="SAPBEXHLevel1X 6 4" xfId="11863" xr:uid="{00000000-0005-0000-0000-0000442F0000}"/>
    <cellStyle name="SAPBEXHLevel1X 7" xfId="11864" xr:uid="{00000000-0005-0000-0000-0000452F0000}"/>
    <cellStyle name="SAPBEXHLevel1X 7 2" xfId="11865" xr:uid="{00000000-0005-0000-0000-0000462F0000}"/>
    <cellStyle name="SAPBEXHLevel1X 7 2 2" xfId="11866" xr:uid="{00000000-0005-0000-0000-0000472F0000}"/>
    <cellStyle name="SAPBEXHLevel1X 7 2 3" xfId="11867" xr:uid="{00000000-0005-0000-0000-0000482F0000}"/>
    <cellStyle name="SAPBEXHLevel1X 7 3" xfId="11868" xr:uid="{00000000-0005-0000-0000-0000492F0000}"/>
    <cellStyle name="SAPBEXHLevel1X 7 4" xfId="11869" xr:uid="{00000000-0005-0000-0000-00004A2F0000}"/>
    <cellStyle name="SAPBEXHLevel1X 8" xfId="11870" xr:uid="{00000000-0005-0000-0000-00004B2F0000}"/>
    <cellStyle name="SAPBEXHLevel1X 8 2" xfId="11871" xr:uid="{00000000-0005-0000-0000-00004C2F0000}"/>
    <cellStyle name="SAPBEXHLevel1X 8 2 2" xfId="11872" xr:uid="{00000000-0005-0000-0000-00004D2F0000}"/>
    <cellStyle name="SAPBEXHLevel1X 8 2 3" xfId="11873" xr:uid="{00000000-0005-0000-0000-00004E2F0000}"/>
    <cellStyle name="SAPBEXHLevel1X 8 3" xfId="11874" xr:uid="{00000000-0005-0000-0000-00004F2F0000}"/>
    <cellStyle name="SAPBEXHLevel1X 8 4" xfId="11875" xr:uid="{00000000-0005-0000-0000-0000502F0000}"/>
    <cellStyle name="SAPBEXHLevel1X 9" xfId="11876" xr:uid="{00000000-0005-0000-0000-0000512F0000}"/>
    <cellStyle name="SAPBEXHLevel1X 9 2" xfId="11877" xr:uid="{00000000-0005-0000-0000-0000522F0000}"/>
    <cellStyle name="SAPBEXHLevel1X 9 2 2" xfId="11878" xr:uid="{00000000-0005-0000-0000-0000532F0000}"/>
    <cellStyle name="SAPBEXHLevel1X 9 2 3" xfId="11879" xr:uid="{00000000-0005-0000-0000-0000542F0000}"/>
    <cellStyle name="SAPBEXHLevel1X 9 3" xfId="11880" xr:uid="{00000000-0005-0000-0000-0000552F0000}"/>
    <cellStyle name="SAPBEXHLevel1X 9 4" xfId="11881" xr:uid="{00000000-0005-0000-0000-0000562F0000}"/>
    <cellStyle name="SAPBEXHLevel2" xfId="11882" xr:uid="{00000000-0005-0000-0000-0000572F0000}"/>
    <cellStyle name="SAPBEXHLevel2 10" xfId="11883" xr:uid="{00000000-0005-0000-0000-0000582F0000}"/>
    <cellStyle name="SAPBEXHLevel2 10 2" xfId="11884" xr:uid="{00000000-0005-0000-0000-0000592F0000}"/>
    <cellStyle name="SAPBEXHLevel2 10 2 2" xfId="11885" xr:uid="{00000000-0005-0000-0000-00005A2F0000}"/>
    <cellStyle name="SAPBEXHLevel2 10 2 3" xfId="11886" xr:uid="{00000000-0005-0000-0000-00005B2F0000}"/>
    <cellStyle name="SAPBEXHLevel2 10 3" xfId="11887" xr:uid="{00000000-0005-0000-0000-00005C2F0000}"/>
    <cellStyle name="SAPBEXHLevel2 10 4" xfId="11888" xr:uid="{00000000-0005-0000-0000-00005D2F0000}"/>
    <cellStyle name="SAPBEXHLevel2 11" xfId="11889" xr:uid="{00000000-0005-0000-0000-00005E2F0000}"/>
    <cellStyle name="SAPBEXHLevel2 11 2" xfId="11890" xr:uid="{00000000-0005-0000-0000-00005F2F0000}"/>
    <cellStyle name="SAPBEXHLevel2 11 2 2" xfId="11891" xr:uid="{00000000-0005-0000-0000-0000602F0000}"/>
    <cellStyle name="SAPBEXHLevel2 11 2 3" xfId="11892" xr:uid="{00000000-0005-0000-0000-0000612F0000}"/>
    <cellStyle name="SAPBEXHLevel2 11 3" xfId="11893" xr:uid="{00000000-0005-0000-0000-0000622F0000}"/>
    <cellStyle name="SAPBEXHLevel2 11 4" xfId="11894" xr:uid="{00000000-0005-0000-0000-0000632F0000}"/>
    <cellStyle name="SAPBEXHLevel2 12" xfId="11895" xr:uid="{00000000-0005-0000-0000-0000642F0000}"/>
    <cellStyle name="SAPBEXHLevel2 12 2" xfId="11896" xr:uid="{00000000-0005-0000-0000-0000652F0000}"/>
    <cellStyle name="SAPBEXHLevel2 12 2 2" xfId="11897" xr:uid="{00000000-0005-0000-0000-0000662F0000}"/>
    <cellStyle name="SAPBEXHLevel2 12 2 3" xfId="11898" xr:uid="{00000000-0005-0000-0000-0000672F0000}"/>
    <cellStyle name="SAPBEXHLevel2 12 3" xfId="11899" xr:uid="{00000000-0005-0000-0000-0000682F0000}"/>
    <cellStyle name="SAPBEXHLevel2 12 4" xfId="11900" xr:uid="{00000000-0005-0000-0000-0000692F0000}"/>
    <cellStyle name="SAPBEXHLevel2 13" xfId="11901" xr:uid="{00000000-0005-0000-0000-00006A2F0000}"/>
    <cellStyle name="SAPBEXHLevel2 13 2" xfId="11902" xr:uid="{00000000-0005-0000-0000-00006B2F0000}"/>
    <cellStyle name="SAPBEXHLevel2 13 2 2" xfId="11903" xr:uid="{00000000-0005-0000-0000-00006C2F0000}"/>
    <cellStyle name="SAPBEXHLevel2 13 2 3" xfId="11904" xr:uid="{00000000-0005-0000-0000-00006D2F0000}"/>
    <cellStyle name="SAPBEXHLevel2 13 3" xfId="11905" xr:uid="{00000000-0005-0000-0000-00006E2F0000}"/>
    <cellStyle name="SAPBEXHLevel2 13 4" xfId="11906" xr:uid="{00000000-0005-0000-0000-00006F2F0000}"/>
    <cellStyle name="SAPBEXHLevel2 14" xfId="11907" xr:uid="{00000000-0005-0000-0000-0000702F0000}"/>
    <cellStyle name="SAPBEXHLevel2 14 2" xfId="11908" xr:uid="{00000000-0005-0000-0000-0000712F0000}"/>
    <cellStyle name="SAPBEXHLevel2 14 2 2" xfId="11909" xr:uid="{00000000-0005-0000-0000-0000722F0000}"/>
    <cellStyle name="SAPBEXHLevel2 14 2 3" xfId="11910" xr:uid="{00000000-0005-0000-0000-0000732F0000}"/>
    <cellStyle name="SAPBEXHLevel2 14 3" xfId="11911" xr:uid="{00000000-0005-0000-0000-0000742F0000}"/>
    <cellStyle name="SAPBEXHLevel2 14 4" xfId="11912" xr:uid="{00000000-0005-0000-0000-0000752F0000}"/>
    <cellStyle name="SAPBEXHLevel2 15" xfId="11913" xr:uid="{00000000-0005-0000-0000-0000762F0000}"/>
    <cellStyle name="SAPBEXHLevel2 15 2" xfId="11914" xr:uid="{00000000-0005-0000-0000-0000772F0000}"/>
    <cellStyle name="SAPBEXHLevel2 15 2 2" xfId="11915" xr:uid="{00000000-0005-0000-0000-0000782F0000}"/>
    <cellStyle name="SAPBEXHLevel2 15 2 3" xfId="11916" xr:uid="{00000000-0005-0000-0000-0000792F0000}"/>
    <cellStyle name="SAPBEXHLevel2 15 3" xfId="11917" xr:uid="{00000000-0005-0000-0000-00007A2F0000}"/>
    <cellStyle name="SAPBEXHLevel2 15 4" xfId="11918" xr:uid="{00000000-0005-0000-0000-00007B2F0000}"/>
    <cellStyle name="SAPBEXHLevel2 16" xfId="11919" xr:uid="{00000000-0005-0000-0000-00007C2F0000}"/>
    <cellStyle name="SAPBEXHLevel2 17" xfId="11920" xr:uid="{00000000-0005-0000-0000-00007D2F0000}"/>
    <cellStyle name="SAPBEXHLevel2 18" xfId="11921" xr:uid="{00000000-0005-0000-0000-00007E2F0000}"/>
    <cellStyle name="SAPBEXHLevel2 19" xfId="11922" xr:uid="{00000000-0005-0000-0000-00007F2F0000}"/>
    <cellStyle name="SAPBEXHLevel2 2" xfId="11923" xr:uid="{00000000-0005-0000-0000-0000802F0000}"/>
    <cellStyle name="SAPBEXHLevel2 2 2" xfId="11924" xr:uid="{00000000-0005-0000-0000-0000812F0000}"/>
    <cellStyle name="SAPBEXHLevel2 2 2 2" xfId="11925" xr:uid="{00000000-0005-0000-0000-0000822F0000}"/>
    <cellStyle name="SAPBEXHLevel2 2 2 3" xfId="11926" xr:uid="{00000000-0005-0000-0000-0000832F0000}"/>
    <cellStyle name="SAPBEXHLevel2 2 3" xfId="11927" xr:uid="{00000000-0005-0000-0000-0000842F0000}"/>
    <cellStyle name="SAPBEXHLevel2 2 4" xfId="11928" xr:uid="{00000000-0005-0000-0000-0000852F0000}"/>
    <cellStyle name="SAPBEXHLevel2 3" xfId="11929" xr:uid="{00000000-0005-0000-0000-0000862F0000}"/>
    <cellStyle name="SAPBEXHLevel2 3 2" xfId="11930" xr:uid="{00000000-0005-0000-0000-0000872F0000}"/>
    <cellStyle name="SAPBEXHLevel2 3 2 2" xfId="11931" xr:uid="{00000000-0005-0000-0000-0000882F0000}"/>
    <cellStyle name="SAPBEXHLevel2 3 2 3" xfId="11932" xr:uid="{00000000-0005-0000-0000-0000892F0000}"/>
    <cellStyle name="SAPBEXHLevel2 3 3" xfId="11933" xr:uid="{00000000-0005-0000-0000-00008A2F0000}"/>
    <cellStyle name="SAPBEXHLevel2 3 4" xfId="11934" xr:uid="{00000000-0005-0000-0000-00008B2F0000}"/>
    <cellStyle name="SAPBEXHLevel2 4" xfId="11935" xr:uid="{00000000-0005-0000-0000-00008C2F0000}"/>
    <cellStyle name="SAPBEXHLevel2 4 2" xfId="11936" xr:uid="{00000000-0005-0000-0000-00008D2F0000}"/>
    <cellStyle name="SAPBEXHLevel2 4 2 2" xfId="11937" xr:uid="{00000000-0005-0000-0000-00008E2F0000}"/>
    <cellStyle name="SAPBEXHLevel2 4 2 3" xfId="11938" xr:uid="{00000000-0005-0000-0000-00008F2F0000}"/>
    <cellStyle name="SAPBEXHLevel2 4 3" xfId="11939" xr:uid="{00000000-0005-0000-0000-0000902F0000}"/>
    <cellStyle name="SAPBEXHLevel2 4 4" xfId="11940" xr:uid="{00000000-0005-0000-0000-0000912F0000}"/>
    <cellStyle name="SAPBEXHLevel2 5" xfId="11941" xr:uid="{00000000-0005-0000-0000-0000922F0000}"/>
    <cellStyle name="SAPBEXHLevel2 5 2" xfId="11942" xr:uid="{00000000-0005-0000-0000-0000932F0000}"/>
    <cellStyle name="SAPBEXHLevel2 5 2 2" xfId="11943" xr:uid="{00000000-0005-0000-0000-0000942F0000}"/>
    <cellStyle name="SAPBEXHLevel2 5 2 3" xfId="11944" xr:uid="{00000000-0005-0000-0000-0000952F0000}"/>
    <cellStyle name="SAPBEXHLevel2 5 3" xfId="11945" xr:uid="{00000000-0005-0000-0000-0000962F0000}"/>
    <cellStyle name="SAPBEXHLevel2 5 4" xfId="11946" xr:uid="{00000000-0005-0000-0000-0000972F0000}"/>
    <cellStyle name="SAPBEXHLevel2 6" xfId="11947" xr:uid="{00000000-0005-0000-0000-0000982F0000}"/>
    <cellStyle name="SAPBEXHLevel2 6 2" xfId="11948" xr:uid="{00000000-0005-0000-0000-0000992F0000}"/>
    <cellStyle name="SAPBEXHLevel2 6 2 2" xfId="11949" xr:uid="{00000000-0005-0000-0000-00009A2F0000}"/>
    <cellStyle name="SAPBEXHLevel2 6 2 3" xfId="11950" xr:uid="{00000000-0005-0000-0000-00009B2F0000}"/>
    <cellStyle name="SAPBEXHLevel2 6 3" xfId="11951" xr:uid="{00000000-0005-0000-0000-00009C2F0000}"/>
    <cellStyle name="SAPBEXHLevel2 6 4" xfId="11952" xr:uid="{00000000-0005-0000-0000-00009D2F0000}"/>
    <cellStyle name="SAPBEXHLevel2 7" xfId="11953" xr:uid="{00000000-0005-0000-0000-00009E2F0000}"/>
    <cellStyle name="SAPBEXHLevel2 7 2" xfId="11954" xr:uid="{00000000-0005-0000-0000-00009F2F0000}"/>
    <cellStyle name="SAPBEXHLevel2 7 2 2" xfId="11955" xr:uid="{00000000-0005-0000-0000-0000A02F0000}"/>
    <cellStyle name="SAPBEXHLevel2 7 2 3" xfId="11956" xr:uid="{00000000-0005-0000-0000-0000A12F0000}"/>
    <cellStyle name="SAPBEXHLevel2 7 3" xfId="11957" xr:uid="{00000000-0005-0000-0000-0000A22F0000}"/>
    <cellStyle name="SAPBEXHLevel2 7 4" xfId="11958" xr:uid="{00000000-0005-0000-0000-0000A32F0000}"/>
    <cellStyle name="SAPBEXHLevel2 8" xfId="11959" xr:uid="{00000000-0005-0000-0000-0000A42F0000}"/>
    <cellStyle name="SAPBEXHLevel2 8 2" xfId="11960" xr:uid="{00000000-0005-0000-0000-0000A52F0000}"/>
    <cellStyle name="SAPBEXHLevel2 8 2 2" xfId="11961" xr:uid="{00000000-0005-0000-0000-0000A62F0000}"/>
    <cellStyle name="SAPBEXHLevel2 8 2 3" xfId="11962" xr:uid="{00000000-0005-0000-0000-0000A72F0000}"/>
    <cellStyle name="SAPBEXHLevel2 8 3" xfId="11963" xr:uid="{00000000-0005-0000-0000-0000A82F0000}"/>
    <cellStyle name="SAPBEXHLevel2 8 4" xfId="11964" xr:uid="{00000000-0005-0000-0000-0000A92F0000}"/>
    <cellStyle name="SAPBEXHLevel2 9" xfId="11965" xr:uid="{00000000-0005-0000-0000-0000AA2F0000}"/>
    <cellStyle name="SAPBEXHLevel2 9 2" xfId="11966" xr:uid="{00000000-0005-0000-0000-0000AB2F0000}"/>
    <cellStyle name="SAPBEXHLevel2 9 2 2" xfId="11967" xr:uid="{00000000-0005-0000-0000-0000AC2F0000}"/>
    <cellStyle name="SAPBEXHLevel2 9 2 3" xfId="11968" xr:uid="{00000000-0005-0000-0000-0000AD2F0000}"/>
    <cellStyle name="SAPBEXHLevel2 9 3" xfId="11969" xr:uid="{00000000-0005-0000-0000-0000AE2F0000}"/>
    <cellStyle name="SAPBEXHLevel2 9 4" xfId="11970" xr:uid="{00000000-0005-0000-0000-0000AF2F0000}"/>
    <cellStyle name="SAPBEXHLevel2X" xfId="11971" xr:uid="{00000000-0005-0000-0000-0000B02F0000}"/>
    <cellStyle name="SAPBEXHLevel2X 10" xfId="11972" xr:uid="{00000000-0005-0000-0000-0000B12F0000}"/>
    <cellStyle name="SAPBEXHLevel2X 10 2" xfId="11973" xr:uid="{00000000-0005-0000-0000-0000B22F0000}"/>
    <cellStyle name="SAPBEXHLevel2X 10 2 2" xfId="11974" xr:uid="{00000000-0005-0000-0000-0000B32F0000}"/>
    <cellStyle name="SAPBEXHLevel2X 10 2 3" xfId="11975" xr:uid="{00000000-0005-0000-0000-0000B42F0000}"/>
    <cellStyle name="SAPBEXHLevel2X 10 3" xfId="11976" xr:uid="{00000000-0005-0000-0000-0000B52F0000}"/>
    <cellStyle name="SAPBEXHLevel2X 10 4" xfId="11977" xr:uid="{00000000-0005-0000-0000-0000B62F0000}"/>
    <cellStyle name="SAPBEXHLevel2X 11" xfId="11978" xr:uid="{00000000-0005-0000-0000-0000B72F0000}"/>
    <cellStyle name="SAPBEXHLevel2X 11 2" xfId="11979" xr:uid="{00000000-0005-0000-0000-0000B82F0000}"/>
    <cellStyle name="SAPBEXHLevel2X 11 2 2" xfId="11980" xr:uid="{00000000-0005-0000-0000-0000B92F0000}"/>
    <cellStyle name="SAPBEXHLevel2X 11 2 3" xfId="11981" xr:uid="{00000000-0005-0000-0000-0000BA2F0000}"/>
    <cellStyle name="SAPBEXHLevel2X 11 3" xfId="11982" xr:uid="{00000000-0005-0000-0000-0000BB2F0000}"/>
    <cellStyle name="SAPBEXHLevel2X 11 4" xfId="11983" xr:uid="{00000000-0005-0000-0000-0000BC2F0000}"/>
    <cellStyle name="SAPBEXHLevel2X 12" xfId="11984" xr:uid="{00000000-0005-0000-0000-0000BD2F0000}"/>
    <cellStyle name="SAPBEXHLevel2X 12 2" xfId="11985" xr:uid="{00000000-0005-0000-0000-0000BE2F0000}"/>
    <cellStyle name="SAPBEXHLevel2X 12 2 2" xfId="11986" xr:uid="{00000000-0005-0000-0000-0000BF2F0000}"/>
    <cellStyle name="SAPBEXHLevel2X 12 2 3" xfId="11987" xr:uid="{00000000-0005-0000-0000-0000C02F0000}"/>
    <cellStyle name="SAPBEXHLevel2X 12 3" xfId="11988" xr:uid="{00000000-0005-0000-0000-0000C12F0000}"/>
    <cellStyle name="SAPBEXHLevel2X 12 4" xfId="11989" xr:uid="{00000000-0005-0000-0000-0000C22F0000}"/>
    <cellStyle name="SAPBEXHLevel2X 13" xfId="11990" xr:uid="{00000000-0005-0000-0000-0000C32F0000}"/>
    <cellStyle name="SAPBEXHLevel2X 13 2" xfId="11991" xr:uid="{00000000-0005-0000-0000-0000C42F0000}"/>
    <cellStyle name="SAPBEXHLevel2X 13 2 2" xfId="11992" xr:uid="{00000000-0005-0000-0000-0000C52F0000}"/>
    <cellStyle name="SAPBEXHLevel2X 13 2 3" xfId="11993" xr:uid="{00000000-0005-0000-0000-0000C62F0000}"/>
    <cellStyle name="SAPBEXHLevel2X 13 3" xfId="11994" xr:uid="{00000000-0005-0000-0000-0000C72F0000}"/>
    <cellStyle name="SAPBEXHLevel2X 13 4" xfId="11995" xr:uid="{00000000-0005-0000-0000-0000C82F0000}"/>
    <cellStyle name="SAPBEXHLevel2X 14" xfId="11996" xr:uid="{00000000-0005-0000-0000-0000C92F0000}"/>
    <cellStyle name="SAPBEXHLevel2X 14 2" xfId="11997" xr:uid="{00000000-0005-0000-0000-0000CA2F0000}"/>
    <cellStyle name="SAPBEXHLevel2X 14 2 2" xfId="11998" xr:uid="{00000000-0005-0000-0000-0000CB2F0000}"/>
    <cellStyle name="SAPBEXHLevel2X 14 2 3" xfId="11999" xr:uid="{00000000-0005-0000-0000-0000CC2F0000}"/>
    <cellStyle name="SAPBEXHLevel2X 14 3" xfId="12000" xr:uid="{00000000-0005-0000-0000-0000CD2F0000}"/>
    <cellStyle name="SAPBEXHLevel2X 14 4" xfId="12001" xr:uid="{00000000-0005-0000-0000-0000CE2F0000}"/>
    <cellStyle name="SAPBEXHLevel2X 15" xfId="12002" xr:uid="{00000000-0005-0000-0000-0000CF2F0000}"/>
    <cellStyle name="SAPBEXHLevel2X 15 2" xfId="12003" xr:uid="{00000000-0005-0000-0000-0000D02F0000}"/>
    <cellStyle name="SAPBEXHLevel2X 15 2 2" xfId="12004" xr:uid="{00000000-0005-0000-0000-0000D12F0000}"/>
    <cellStyle name="SAPBEXHLevel2X 15 2 3" xfId="12005" xr:uid="{00000000-0005-0000-0000-0000D22F0000}"/>
    <cellStyle name="SAPBEXHLevel2X 15 3" xfId="12006" xr:uid="{00000000-0005-0000-0000-0000D32F0000}"/>
    <cellStyle name="SAPBEXHLevel2X 15 4" xfId="12007" xr:uid="{00000000-0005-0000-0000-0000D42F0000}"/>
    <cellStyle name="SAPBEXHLevel2X 16" xfId="12008" xr:uid="{00000000-0005-0000-0000-0000D52F0000}"/>
    <cellStyle name="SAPBEXHLevel2X 17" xfId="12009" xr:uid="{00000000-0005-0000-0000-0000D62F0000}"/>
    <cellStyle name="SAPBEXHLevel2X 18" xfId="12010" xr:uid="{00000000-0005-0000-0000-0000D72F0000}"/>
    <cellStyle name="SAPBEXHLevel2X 19" xfId="12011" xr:uid="{00000000-0005-0000-0000-0000D82F0000}"/>
    <cellStyle name="SAPBEXHLevel2X 2" xfId="12012" xr:uid="{00000000-0005-0000-0000-0000D92F0000}"/>
    <cellStyle name="SAPBEXHLevel2X 2 2" xfId="12013" xr:uid="{00000000-0005-0000-0000-0000DA2F0000}"/>
    <cellStyle name="SAPBEXHLevel2X 2 2 2" xfId="12014" xr:uid="{00000000-0005-0000-0000-0000DB2F0000}"/>
    <cellStyle name="SAPBEXHLevel2X 2 2 3" xfId="12015" xr:uid="{00000000-0005-0000-0000-0000DC2F0000}"/>
    <cellStyle name="SAPBEXHLevel2X 2 3" xfId="12016" xr:uid="{00000000-0005-0000-0000-0000DD2F0000}"/>
    <cellStyle name="SAPBEXHLevel2X 2 4" xfId="12017" xr:uid="{00000000-0005-0000-0000-0000DE2F0000}"/>
    <cellStyle name="SAPBEXHLevel2X 3" xfId="12018" xr:uid="{00000000-0005-0000-0000-0000DF2F0000}"/>
    <cellStyle name="SAPBEXHLevel2X 3 2" xfId="12019" xr:uid="{00000000-0005-0000-0000-0000E02F0000}"/>
    <cellStyle name="SAPBEXHLevel2X 3 2 2" xfId="12020" xr:uid="{00000000-0005-0000-0000-0000E12F0000}"/>
    <cellStyle name="SAPBEXHLevel2X 3 2 3" xfId="12021" xr:uid="{00000000-0005-0000-0000-0000E22F0000}"/>
    <cellStyle name="SAPBEXHLevel2X 3 3" xfId="12022" xr:uid="{00000000-0005-0000-0000-0000E32F0000}"/>
    <cellStyle name="SAPBEXHLevel2X 3 4" xfId="12023" xr:uid="{00000000-0005-0000-0000-0000E42F0000}"/>
    <cellStyle name="SAPBEXHLevel2X 4" xfId="12024" xr:uid="{00000000-0005-0000-0000-0000E52F0000}"/>
    <cellStyle name="SAPBEXHLevel2X 4 2" xfId="12025" xr:uid="{00000000-0005-0000-0000-0000E62F0000}"/>
    <cellStyle name="SAPBEXHLevel2X 4 2 2" xfId="12026" xr:uid="{00000000-0005-0000-0000-0000E72F0000}"/>
    <cellStyle name="SAPBEXHLevel2X 4 2 3" xfId="12027" xr:uid="{00000000-0005-0000-0000-0000E82F0000}"/>
    <cellStyle name="SAPBEXHLevel2X 4 3" xfId="12028" xr:uid="{00000000-0005-0000-0000-0000E92F0000}"/>
    <cellStyle name="SAPBEXHLevel2X 4 4" xfId="12029" xr:uid="{00000000-0005-0000-0000-0000EA2F0000}"/>
    <cellStyle name="SAPBEXHLevel2X 5" xfId="12030" xr:uid="{00000000-0005-0000-0000-0000EB2F0000}"/>
    <cellStyle name="SAPBEXHLevel2X 5 2" xfId="12031" xr:uid="{00000000-0005-0000-0000-0000EC2F0000}"/>
    <cellStyle name="SAPBEXHLevel2X 5 2 2" xfId="12032" xr:uid="{00000000-0005-0000-0000-0000ED2F0000}"/>
    <cellStyle name="SAPBEXHLevel2X 5 2 3" xfId="12033" xr:uid="{00000000-0005-0000-0000-0000EE2F0000}"/>
    <cellStyle name="SAPBEXHLevel2X 5 3" xfId="12034" xr:uid="{00000000-0005-0000-0000-0000EF2F0000}"/>
    <cellStyle name="SAPBEXHLevel2X 5 4" xfId="12035" xr:uid="{00000000-0005-0000-0000-0000F02F0000}"/>
    <cellStyle name="SAPBEXHLevel2X 6" xfId="12036" xr:uid="{00000000-0005-0000-0000-0000F12F0000}"/>
    <cellStyle name="SAPBEXHLevel2X 6 2" xfId="12037" xr:uid="{00000000-0005-0000-0000-0000F22F0000}"/>
    <cellStyle name="SAPBEXHLevel2X 6 2 2" xfId="12038" xr:uid="{00000000-0005-0000-0000-0000F32F0000}"/>
    <cellStyle name="SAPBEXHLevel2X 6 2 3" xfId="12039" xr:uid="{00000000-0005-0000-0000-0000F42F0000}"/>
    <cellStyle name="SAPBEXHLevel2X 6 3" xfId="12040" xr:uid="{00000000-0005-0000-0000-0000F52F0000}"/>
    <cellStyle name="SAPBEXHLevel2X 6 4" xfId="12041" xr:uid="{00000000-0005-0000-0000-0000F62F0000}"/>
    <cellStyle name="SAPBEXHLevel2X 7" xfId="12042" xr:uid="{00000000-0005-0000-0000-0000F72F0000}"/>
    <cellStyle name="SAPBEXHLevel2X 7 2" xfId="12043" xr:uid="{00000000-0005-0000-0000-0000F82F0000}"/>
    <cellStyle name="SAPBEXHLevel2X 7 2 2" xfId="12044" xr:uid="{00000000-0005-0000-0000-0000F92F0000}"/>
    <cellStyle name="SAPBEXHLevel2X 7 2 3" xfId="12045" xr:uid="{00000000-0005-0000-0000-0000FA2F0000}"/>
    <cellStyle name="SAPBEXHLevel2X 7 3" xfId="12046" xr:uid="{00000000-0005-0000-0000-0000FB2F0000}"/>
    <cellStyle name="SAPBEXHLevel2X 7 4" xfId="12047" xr:uid="{00000000-0005-0000-0000-0000FC2F0000}"/>
    <cellStyle name="SAPBEXHLevel2X 8" xfId="12048" xr:uid="{00000000-0005-0000-0000-0000FD2F0000}"/>
    <cellStyle name="SAPBEXHLevel2X 8 2" xfId="12049" xr:uid="{00000000-0005-0000-0000-0000FE2F0000}"/>
    <cellStyle name="SAPBEXHLevel2X 8 2 2" xfId="12050" xr:uid="{00000000-0005-0000-0000-0000FF2F0000}"/>
    <cellStyle name="SAPBEXHLevel2X 8 2 3" xfId="12051" xr:uid="{00000000-0005-0000-0000-000000300000}"/>
    <cellStyle name="SAPBEXHLevel2X 8 3" xfId="12052" xr:uid="{00000000-0005-0000-0000-000001300000}"/>
    <cellStyle name="SAPBEXHLevel2X 8 4" xfId="12053" xr:uid="{00000000-0005-0000-0000-000002300000}"/>
    <cellStyle name="SAPBEXHLevel2X 9" xfId="12054" xr:uid="{00000000-0005-0000-0000-000003300000}"/>
    <cellStyle name="SAPBEXHLevel2X 9 2" xfId="12055" xr:uid="{00000000-0005-0000-0000-000004300000}"/>
    <cellStyle name="SAPBEXHLevel2X 9 2 2" xfId="12056" xr:uid="{00000000-0005-0000-0000-000005300000}"/>
    <cellStyle name="SAPBEXHLevel2X 9 2 3" xfId="12057" xr:uid="{00000000-0005-0000-0000-000006300000}"/>
    <cellStyle name="SAPBEXHLevel2X 9 3" xfId="12058" xr:uid="{00000000-0005-0000-0000-000007300000}"/>
    <cellStyle name="SAPBEXHLevel2X 9 4" xfId="12059" xr:uid="{00000000-0005-0000-0000-000008300000}"/>
    <cellStyle name="SAPBEXHLevel3" xfId="12060" xr:uid="{00000000-0005-0000-0000-000009300000}"/>
    <cellStyle name="SAPBEXHLevel3 10" xfId="12061" xr:uid="{00000000-0005-0000-0000-00000A300000}"/>
    <cellStyle name="SAPBEXHLevel3 10 2" xfId="12062" xr:uid="{00000000-0005-0000-0000-00000B300000}"/>
    <cellStyle name="SAPBEXHLevel3 10 2 2" xfId="12063" xr:uid="{00000000-0005-0000-0000-00000C300000}"/>
    <cellStyle name="SAPBEXHLevel3 10 2 3" xfId="12064" xr:uid="{00000000-0005-0000-0000-00000D300000}"/>
    <cellStyle name="SAPBEXHLevel3 10 3" xfId="12065" xr:uid="{00000000-0005-0000-0000-00000E300000}"/>
    <cellStyle name="SAPBEXHLevel3 10 4" xfId="12066" xr:uid="{00000000-0005-0000-0000-00000F300000}"/>
    <cellStyle name="SAPBEXHLevel3 11" xfId="12067" xr:uid="{00000000-0005-0000-0000-000010300000}"/>
    <cellStyle name="SAPBEXHLevel3 11 2" xfId="12068" xr:uid="{00000000-0005-0000-0000-000011300000}"/>
    <cellStyle name="SAPBEXHLevel3 11 2 2" xfId="12069" xr:uid="{00000000-0005-0000-0000-000012300000}"/>
    <cellStyle name="SAPBEXHLevel3 11 2 3" xfId="12070" xr:uid="{00000000-0005-0000-0000-000013300000}"/>
    <cellStyle name="SAPBEXHLevel3 11 3" xfId="12071" xr:uid="{00000000-0005-0000-0000-000014300000}"/>
    <cellStyle name="SAPBEXHLevel3 11 4" xfId="12072" xr:uid="{00000000-0005-0000-0000-000015300000}"/>
    <cellStyle name="SAPBEXHLevel3 12" xfId="12073" xr:uid="{00000000-0005-0000-0000-000016300000}"/>
    <cellStyle name="SAPBEXHLevel3 12 2" xfId="12074" xr:uid="{00000000-0005-0000-0000-000017300000}"/>
    <cellStyle name="SAPBEXHLevel3 12 2 2" xfId="12075" xr:uid="{00000000-0005-0000-0000-000018300000}"/>
    <cellStyle name="SAPBEXHLevel3 12 2 3" xfId="12076" xr:uid="{00000000-0005-0000-0000-000019300000}"/>
    <cellStyle name="SAPBEXHLevel3 12 3" xfId="12077" xr:uid="{00000000-0005-0000-0000-00001A300000}"/>
    <cellStyle name="SAPBEXHLevel3 12 4" xfId="12078" xr:uid="{00000000-0005-0000-0000-00001B300000}"/>
    <cellStyle name="SAPBEXHLevel3 13" xfId="12079" xr:uid="{00000000-0005-0000-0000-00001C300000}"/>
    <cellStyle name="SAPBEXHLevel3 13 2" xfId="12080" xr:uid="{00000000-0005-0000-0000-00001D300000}"/>
    <cellStyle name="SAPBEXHLevel3 13 2 2" xfId="12081" xr:uid="{00000000-0005-0000-0000-00001E300000}"/>
    <cellStyle name="SAPBEXHLevel3 13 2 3" xfId="12082" xr:uid="{00000000-0005-0000-0000-00001F300000}"/>
    <cellStyle name="SAPBEXHLevel3 13 3" xfId="12083" xr:uid="{00000000-0005-0000-0000-000020300000}"/>
    <cellStyle name="SAPBEXHLevel3 13 4" xfId="12084" xr:uid="{00000000-0005-0000-0000-000021300000}"/>
    <cellStyle name="SAPBEXHLevel3 14" xfId="12085" xr:uid="{00000000-0005-0000-0000-000022300000}"/>
    <cellStyle name="SAPBEXHLevel3 14 2" xfId="12086" xr:uid="{00000000-0005-0000-0000-000023300000}"/>
    <cellStyle name="SAPBEXHLevel3 14 2 2" xfId="12087" xr:uid="{00000000-0005-0000-0000-000024300000}"/>
    <cellStyle name="SAPBEXHLevel3 14 2 3" xfId="12088" xr:uid="{00000000-0005-0000-0000-000025300000}"/>
    <cellStyle name="SAPBEXHLevel3 14 3" xfId="12089" xr:uid="{00000000-0005-0000-0000-000026300000}"/>
    <cellStyle name="SAPBEXHLevel3 14 4" xfId="12090" xr:uid="{00000000-0005-0000-0000-000027300000}"/>
    <cellStyle name="SAPBEXHLevel3 15" xfId="12091" xr:uid="{00000000-0005-0000-0000-000028300000}"/>
    <cellStyle name="SAPBEXHLevel3 15 2" xfId="12092" xr:uid="{00000000-0005-0000-0000-000029300000}"/>
    <cellStyle name="SAPBEXHLevel3 15 2 2" xfId="12093" xr:uid="{00000000-0005-0000-0000-00002A300000}"/>
    <cellStyle name="SAPBEXHLevel3 15 2 3" xfId="12094" xr:uid="{00000000-0005-0000-0000-00002B300000}"/>
    <cellStyle name="SAPBEXHLevel3 15 3" xfId="12095" xr:uid="{00000000-0005-0000-0000-00002C300000}"/>
    <cellStyle name="SAPBEXHLevel3 15 4" xfId="12096" xr:uid="{00000000-0005-0000-0000-00002D300000}"/>
    <cellStyle name="SAPBEXHLevel3 16" xfId="12097" xr:uid="{00000000-0005-0000-0000-00002E300000}"/>
    <cellStyle name="SAPBEXHLevel3 17" xfId="12098" xr:uid="{00000000-0005-0000-0000-00002F300000}"/>
    <cellStyle name="SAPBEXHLevel3 18" xfId="12099" xr:uid="{00000000-0005-0000-0000-000030300000}"/>
    <cellStyle name="SAPBEXHLevel3 19" xfId="12100" xr:uid="{00000000-0005-0000-0000-000031300000}"/>
    <cellStyle name="SAPBEXHLevel3 2" xfId="12101" xr:uid="{00000000-0005-0000-0000-000032300000}"/>
    <cellStyle name="SAPBEXHLevel3 2 2" xfId="12102" xr:uid="{00000000-0005-0000-0000-000033300000}"/>
    <cellStyle name="SAPBEXHLevel3 2 2 2" xfId="12103" xr:uid="{00000000-0005-0000-0000-000034300000}"/>
    <cellStyle name="SAPBEXHLevel3 2 2 3" xfId="12104" xr:uid="{00000000-0005-0000-0000-000035300000}"/>
    <cellStyle name="SAPBEXHLevel3 2 3" xfId="12105" xr:uid="{00000000-0005-0000-0000-000036300000}"/>
    <cellStyle name="SAPBEXHLevel3 2 4" xfId="12106" xr:uid="{00000000-0005-0000-0000-000037300000}"/>
    <cellStyle name="SAPBEXHLevel3 3" xfId="12107" xr:uid="{00000000-0005-0000-0000-000038300000}"/>
    <cellStyle name="SAPBEXHLevel3 3 2" xfId="12108" xr:uid="{00000000-0005-0000-0000-000039300000}"/>
    <cellStyle name="SAPBEXHLevel3 3 2 2" xfId="12109" xr:uid="{00000000-0005-0000-0000-00003A300000}"/>
    <cellStyle name="SAPBEXHLevel3 3 2 3" xfId="12110" xr:uid="{00000000-0005-0000-0000-00003B300000}"/>
    <cellStyle name="SAPBEXHLevel3 3 3" xfId="12111" xr:uid="{00000000-0005-0000-0000-00003C300000}"/>
    <cellStyle name="SAPBEXHLevel3 3 4" xfId="12112" xr:uid="{00000000-0005-0000-0000-00003D300000}"/>
    <cellStyle name="SAPBEXHLevel3 4" xfId="12113" xr:uid="{00000000-0005-0000-0000-00003E300000}"/>
    <cellStyle name="SAPBEXHLevel3 4 2" xfId="12114" xr:uid="{00000000-0005-0000-0000-00003F300000}"/>
    <cellStyle name="SAPBEXHLevel3 4 2 2" xfId="12115" xr:uid="{00000000-0005-0000-0000-000040300000}"/>
    <cellStyle name="SAPBEXHLevel3 4 2 3" xfId="12116" xr:uid="{00000000-0005-0000-0000-000041300000}"/>
    <cellStyle name="SAPBEXHLevel3 4 3" xfId="12117" xr:uid="{00000000-0005-0000-0000-000042300000}"/>
    <cellStyle name="SAPBEXHLevel3 4 4" xfId="12118" xr:uid="{00000000-0005-0000-0000-000043300000}"/>
    <cellStyle name="SAPBEXHLevel3 5" xfId="12119" xr:uid="{00000000-0005-0000-0000-000044300000}"/>
    <cellStyle name="SAPBEXHLevel3 5 2" xfId="12120" xr:uid="{00000000-0005-0000-0000-000045300000}"/>
    <cellStyle name="SAPBEXHLevel3 5 2 2" xfId="12121" xr:uid="{00000000-0005-0000-0000-000046300000}"/>
    <cellStyle name="SAPBEXHLevel3 5 2 3" xfId="12122" xr:uid="{00000000-0005-0000-0000-000047300000}"/>
    <cellStyle name="SAPBEXHLevel3 5 3" xfId="12123" xr:uid="{00000000-0005-0000-0000-000048300000}"/>
    <cellStyle name="SAPBEXHLevel3 5 4" xfId="12124" xr:uid="{00000000-0005-0000-0000-000049300000}"/>
    <cellStyle name="SAPBEXHLevel3 6" xfId="12125" xr:uid="{00000000-0005-0000-0000-00004A300000}"/>
    <cellStyle name="SAPBEXHLevel3 6 2" xfId="12126" xr:uid="{00000000-0005-0000-0000-00004B300000}"/>
    <cellStyle name="SAPBEXHLevel3 6 2 2" xfId="12127" xr:uid="{00000000-0005-0000-0000-00004C300000}"/>
    <cellStyle name="SAPBEXHLevel3 6 2 3" xfId="12128" xr:uid="{00000000-0005-0000-0000-00004D300000}"/>
    <cellStyle name="SAPBEXHLevel3 6 3" xfId="12129" xr:uid="{00000000-0005-0000-0000-00004E300000}"/>
    <cellStyle name="SAPBEXHLevel3 6 4" xfId="12130" xr:uid="{00000000-0005-0000-0000-00004F300000}"/>
    <cellStyle name="SAPBEXHLevel3 7" xfId="12131" xr:uid="{00000000-0005-0000-0000-000050300000}"/>
    <cellStyle name="SAPBEXHLevel3 7 2" xfId="12132" xr:uid="{00000000-0005-0000-0000-000051300000}"/>
    <cellStyle name="SAPBEXHLevel3 7 2 2" xfId="12133" xr:uid="{00000000-0005-0000-0000-000052300000}"/>
    <cellStyle name="SAPBEXHLevel3 7 2 3" xfId="12134" xr:uid="{00000000-0005-0000-0000-000053300000}"/>
    <cellStyle name="SAPBEXHLevel3 7 3" xfId="12135" xr:uid="{00000000-0005-0000-0000-000054300000}"/>
    <cellStyle name="SAPBEXHLevel3 7 4" xfId="12136" xr:uid="{00000000-0005-0000-0000-000055300000}"/>
    <cellStyle name="SAPBEXHLevel3 8" xfId="12137" xr:uid="{00000000-0005-0000-0000-000056300000}"/>
    <cellStyle name="SAPBEXHLevel3 8 2" xfId="12138" xr:uid="{00000000-0005-0000-0000-000057300000}"/>
    <cellStyle name="SAPBEXHLevel3 8 2 2" xfId="12139" xr:uid="{00000000-0005-0000-0000-000058300000}"/>
    <cellStyle name="SAPBEXHLevel3 8 2 3" xfId="12140" xr:uid="{00000000-0005-0000-0000-000059300000}"/>
    <cellStyle name="SAPBEXHLevel3 8 3" xfId="12141" xr:uid="{00000000-0005-0000-0000-00005A300000}"/>
    <cellStyle name="SAPBEXHLevel3 8 4" xfId="12142" xr:uid="{00000000-0005-0000-0000-00005B300000}"/>
    <cellStyle name="SAPBEXHLevel3 9" xfId="12143" xr:uid="{00000000-0005-0000-0000-00005C300000}"/>
    <cellStyle name="SAPBEXHLevel3 9 2" xfId="12144" xr:uid="{00000000-0005-0000-0000-00005D300000}"/>
    <cellStyle name="SAPBEXHLevel3 9 2 2" xfId="12145" xr:uid="{00000000-0005-0000-0000-00005E300000}"/>
    <cellStyle name="SAPBEXHLevel3 9 2 3" xfId="12146" xr:uid="{00000000-0005-0000-0000-00005F300000}"/>
    <cellStyle name="SAPBEXHLevel3 9 3" xfId="12147" xr:uid="{00000000-0005-0000-0000-000060300000}"/>
    <cellStyle name="SAPBEXHLevel3 9 4" xfId="12148" xr:uid="{00000000-0005-0000-0000-000061300000}"/>
    <cellStyle name="SAPBEXHLevel3X" xfId="12149" xr:uid="{00000000-0005-0000-0000-000062300000}"/>
    <cellStyle name="SAPBEXHLevel3X 10" xfId="12150" xr:uid="{00000000-0005-0000-0000-000063300000}"/>
    <cellStyle name="SAPBEXHLevel3X 10 2" xfId="12151" xr:uid="{00000000-0005-0000-0000-000064300000}"/>
    <cellStyle name="SAPBEXHLevel3X 10 2 2" xfId="12152" xr:uid="{00000000-0005-0000-0000-000065300000}"/>
    <cellStyle name="SAPBEXHLevel3X 10 2 3" xfId="12153" xr:uid="{00000000-0005-0000-0000-000066300000}"/>
    <cellStyle name="SAPBEXHLevel3X 10 3" xfId="12154" xr:uid="{00000000-0005-0000-0000-000067300000}"/>
    <cellStyle name="SAPBEXHLevel3X 10 4" xfId="12155" xr:uid="{00000000-0005-0000-0000-000068300000}"/>
    <cellStyle name="SAPBEXHLevel3X 11" xfId="12156" xr:uid="{00000000-0005-0000-0000-000069300000}"/>
    <cellStyle name="SAPBEXHLevel3X 11 2" xfId="12157" xr:uid="{00000000-0005-0000-0000-00006A300000}"/>
    <cellStyle name="SAPBEXHLevel3X 11 2 2" xfId="12158" xr:uid="{00000000-0005-0000-0000-00006B300000}"/>
    <cellStyle name="SAPBEXHLevel3X 11 2 3" xfId="12159" xr:uid="{00000000-0005-0000-0000-00006C300000}"/>
    <cellStyle name="SAPBEXHLevel3X 11 3" xfId="12160" xr:uid="{00000000-0005-0000-0000-00006D300000}"/>
    <cellStyle name="SAPBEXHLevel3X 11 4" xfId="12161" xr:uid="{00000000-0005-0000-0000-00006E300000}"/>
    <cellStyle name="SAPBEXHLevel3X 12" xfId="12162" xr:uid="{00000000-0005-0000-0000-00006F300000}"/>
    <cellStyle name="SAPBEXHLevel3X 12 2" xfId="12163" xr:uid="{00000000-0005-0000-0000-000070300000}"/>
    <cellStyle name="SAPBEXHLevel3X 12 2 2" xfId="12164" xr:uid="{00000000-0005-0000-0000-000071300000}"/>
    <cellStyle name="SAPBEXHLevel3X 12 2 3" xfId="12165" xr:uid="{00000000-0005-0000-0000-000072300000}"/>
    <cellStyle name="SAPBEXHLevel3X 12 3" xfId="12166" xr:uid="{00000000-0005-0000-0000-000073300000}"/>
    <cellStyle name="SAPBEXHLevel3X 12 4" xfId="12167" xr:uid="{00000000-0005-0000-0000-000074300000}"/>
    <cellStyle name="SAPBEXHLevel3X 13" xfId="12168" xr:uid="{00000000-0005-0000-0000-000075300000}"/>
    <cellStyle name="SAPBEXHLevel3X 13 2" xfId="12169" xr:uid="{00000000-0005-0000-0000-000076300000}"/>
    <cellStyle name="SAPBEXHLevel3X 13 2 2" xfId="12170" xr:uid="{00000000-0005-0000-0000-000077300000}"/>
    <cellStyle name="SAPBEXHLevel3X 13 2 3" xfId="12171" xr:uid="{00000000-0005-0000-0000-000078300000}"/>
    <cellStyle name="SAPBEXHLevel3X 13 3" xfId="12172" xr:uid="{00000000-0005-0000-0000-000079300000}"/>
    <cellStyle name="SAPBEXHLevel3X 13 4" xfId="12173" xr:uid="{00000000-0005-0000-0000-00007A300000}"/>
    <cellStyle name="SAPBEXHLevel3X 14" xfId="12174" xr:uid="{00000000-0005-0000-0000-00007B300000}"/>
    <cellStyle name="SAPBEXHLevel3X 14 2" xfId="12175" xr:uid="{00000000-0005-0000-0000-00007C300000}"/>
    <cellStyle name="SAPBEXHLevel3X 14 2 2" xfId="12176" xr:uid="{00000000-0005-0000-0000-00007D300000}"/>
    <cellStyle name="SAPBEXHLevel3X 14 2 3" xfId="12177" xr:uid="{00000000-0005-0000-0000-00007E300000}"/>
    <cellStyle name="SAPBEXHLevel3X 14 3" xfId="12178" xr:uid="{00000000-0005-0000-0000-00007F300000}"/>
    <cellStyle name="SAPBEXHLevel3X 14 4" xfId="12179" xr:uid="{00000000-0005-0000-0000-000080300000}"/>
    <cellStyle name="SAPBEXHLevel3X 15" xfId="12180" xr:uid="{00000000-0005-0000-0000-000081300000}"/>
    <cellStyle name="SAPBEXHLevel3X 15 2" xfId="12181" xr:uid="{00000000-0005-0000-0000-000082300000}"/>
    <cellStyle name="SAPBEXHLevel3X 15 2 2" xfId="12182" xr:uid="{00000000-0005-0000-0000-000083300000}"/>
    <cellStyle name="SAPBEXHLevel3X 15 2 3" xfId="12183" xr:uid="{00000000-0005-0000-0000-000084300000}"/>
    <cellStyle name="SAPBEXHLevel3X 15 3" xfId="12184" xr:uid="{00000000-0005-0000-0000-000085300000}"/>
    <cellStyle name="SAPBEXHLevel3X 15 4" xfId="12185" xr:uid="{00000000-0005-0000-0000-000086300000}"/>
    <cellStyle name="SAPBEXHLevel3X 16" xfId="12186" xr:uid="{00000000-0005-0000-0000-000087300000}"/>
    <cellStyle name="SAPBEXHLevel3X 17" xfId="12187" xr:uid="{00000000-0005-0000-0000-000088300000}"/>
    <cellStyle name="SAPBEXHLevel3X 18" xfId="12188" xr:uid="{00000000-0005-0000-0000-000089300000}"/>
    <cellStyle name="SAPBEXHLevel3X 19" xfId="12189" xr:uid="{00000000-0005-0000-0000-00008A300000}"/>
    <cellStyle name="SAPBEXHLevel3X 2" xfId="12190" xr:uid="{00000000-0005-0000-0000-00008B300000}"/>
    <cellStyle name="SAPBEXHLevel3X 2 2" xfId="12191" xr:uid="{00000000-0005-0000-0000-00008C300000}"/>
    <cellStyle name="SAPBEXHLevel3X 2 2 2" xfId="12192" xr:uid="{00000000-0005-0000-0000-00008D300000}"/>
    <cellStyle name="SAPBEXHLevel3X 2 2 3" xfId="12193" xr:uid="{00000000-0005-0000-0000-00008E300000}"/>
    <cellStyle name="SAPBEXHLevel3X 2 3" xfId="12194" xr:uid="{00000000-0005-0000-0000-00008F300000}"/>
    <cellStyle name="SAPBEXHLevel3X 2 4" xfId="12195" xr:uid="{00000000-0005-0000-0000-000090300000}"/>
    <cellStyle name="SAPBEXHLevel3X 3" xfId="12196" xr:uid="{00000000-0005-0000-0000-000091300000}"/>
    <cellStyle name="SAPBEXHLevel3X 3 2" xfId="12197" xr:uid="{00000000-0005-0000-0000-000092300000}"/>
    <cellStyle name="SAPBEXHLevel3X 3 2 2" xfId="12198" xr:uid="{00000000-0005-0000-0000-000093300000}"/>
    <cellStyle name="SAPBEXHLevel3X 3 2 3" xfId="12199" xr:uid="{00000000-0005-0000-0000-000094300000}"/>
    <cellStyle name="SAPBEXHLevel3X 3 3" xfId="12200" xr:uid="{00000000-0005-0000-0000-000095300000}"/>
    <cellStyle name="SAPBEXHLevel3X 3 4" xfId="12201" xr:uid="{00000000-0005-0000-0000-000096300000}"/>
    <cellStyle name="SAPBEXHLevel3X 4" xfId="12202" xr:uid="{00000000-0005-0000-0000-000097300000}"/>
    <cellStyle name="SAPBEXHLevel3X 4 2" xfId="12203" xr:uid="{00000000-0005-0000-0000-000098300000}"/>
    <cellStyle name="SAPBEXHLevel3X 4 2 2" xfId="12204" xr:uid="{00000000-0005-0000-0000-000099300000}"/>
    <cellStyle name="SAPBEXHLevel3X 4 2 3" xfId="12205" xr:uid="{00000000-0005-0000-0000-00009A300000}"/>
    <cellStyle name="SAPBEXHLevel3X 4 3" xfId="12206" xr:uid="{00000000-0005-0000-0000-00009B300000}"/>
    <cellStyle name="SAPBEXHLevel3X 4 4" xfId="12207" xr:uid="{00000000-0005-0000-0000-00009C300000}"/>
    <cellStyle name="SAPBEXHLevel3X 5" xfId="12208" xr:uid="{00000000-0005-0000-0000-00009D300000}"/>
    <cellStyle name="SAPBEXHLevel3X 5 2" xfId="12209" xr:uid="{00000000-0005-0000-0000-00009E300000}"/>
    <cellStyle name="SAPBEXHLevel3X 5 2 2" xfId="12210" xr:uid="{00000000-0005-0000-0000-00009F300000}"/>
    <cellStyle name="SAPBEXHLevel3X 5 2 3" xfId="12211" xr:uid="{00000000-0005-0000-0000-0000A0300000}"/>
    <cellStyle name="SAPBEXHLevel3X 5 3" xfId="12212" xr:uid="{00000000-0005-0000-0000-0000A1300000}"/>
    <cellStyle name="SAPBEXHLevel3X 5 4" xfId="12213" xr:uid="{00000000-0005-0000-0000-0000A2300000}"/>
    <cellStyle name="SAPBEXHLevel3X 6" xfId="12214" xr:uid="{00000000-0005-0000-0000-0000A3300000}"/>
    <cellStyle name="SAPBEXHLevel3X 6 2" xfId="12215" xr:uid="{00000000-0005-0000-0000-0000A4300000}"/>
    <cellStyle name="SAPBEXHLevel3X 6 2 2" xfId="12216" xr:uid="{00000000-0005-0000-0000-0000A5300000}"/>
    <cellStyle name="SAPBEXHLevel3X 6 2 3" xfId="12217" xr:uid="{00000000-0005-0000-0000-0000A6300000}"/>
    <cellStyle name="SAPBEXHLevel3X 6 3" xfId="12218" xr:uid="{00000000-0005-0000-0000-0000A7300000}"/>
    <cellStyle name="SAPBEXHLevel3X 6 4" xfId="12219" xr:uid="{00000000-0005-0000-0000-0000A8300000}"/>
    <cellStyle name="SAPBEXHLevel3X 7" xfId="12220" xr:uid="{00000000-0005-0000-0000-0000A9300000}"/>
    <cellStyle name="SAPBEXHLevel3X 7 2" xfId="12221" xr:uid="{00000000-0005-0000-0000-0000AA300000}"/>
    <cellStyle name="SAPBEXHLevel3X 7 2 2" xfId="12222" xr:uid="{00000000-0005-0000-0000-0000AB300000}"/>
    <cellStyle name="SAPBEXHLevel3X 7 2 3" xfId="12223" xr:uid="{00000000-0005-0000-0000-0000AC300000}"/>
    <cellStyle name="SAPBEXHLevel3X 7 3" xfId="12224" xr:uid="{00000000-0005-0000-0000-0000AD300000}"/>
    <cellStyle name="SAPBEXHLevel3X 7 4" xfId="12225" xr:uid="{00000000-0005-0000-0000-0000AE300000}"/>
    <cellStyle name="SAPBEXHLevel3X 8" xfId="12226" xr:uid="{00000000-0005-0000-0000-0000AF300000}"/>
    <cellStyle name="SAPBEXHLevel3X 8 2" xfId="12227" xr:uid="{00000000-0005-0000-0000-0000B0300000}"/>
    <cellStyle name="SAPBEXHLevel3X 8 2 2" xfId="12228" xr:uid="{00000000-0005-0000-0000-0000B1300000}"/>
    <cellStyle name="SAPBEXHLevel3X 8 2 3" xfId="12229" xr:uid="{00000000-0005-0000-0000-0000B2300000}"/>
    <cellStyle name="SAPBEXHLevel3X 8 3" xfId="12230" xr:uid="{00000000-0005-0000-0000-0000B3300000}"/>
    <cellStyle name="SAPBEXHLevel3X 8 4" xfId="12231" xr:uid="{00000000-0005-0000-0000-0000B4300000}"/>
    <cellStyle name="SAPBEXHLevel3X 9" xfId="12232" xr:uid="{00000000-0005-0000-0000-0000B5300000}"/>
    <cellStyle name="SAPBEXHLevel3X 9 2" xfId="12233" xr:uid="{00000000-0005-0000-0000-0000B6300000}"/>
    <cellStyle name="SAPBEXHLevel3X 9 2 2" xfId="12234" xr:uid="{00000000-0005-0000-0000-0000B7300000}"/>
    <cellStyle name="SAPBEXHLevel3X 9 2 3" xfId="12235" xr:uid="{00000000-0005-0000-0000-0000B8300000}"/>
    <cellStyle name="SAPBEXHLevel3X 9 3" xfId="12236" xr:uid="{00000000-0005-0000-0000-0000B9300000}"/>
    <cellStyle name="SAPBEXHLevel3X 9 4" xfId="12237" xr:uid="{00000000-0005-0000-0000-0000BA300000}"/>
    <cellStyle name="SAPBEXresData" xfId="12238" xr:uid="{00000000-0005-0000-0000-0000BB300000}"/>
    <cellStyle name="SAPBEXresData 10" xfId="12239" xr:uid="{00000000-0005-0000-0000-0000BC300000}"/>
    <cellStyle name="SAPBEXresData 10 2" xfId="12240" xr:uid="{00000000-0005-0000-0000-0000BD300000}"/>
    <cellStyle name="SAPBEXresData 10 2 2" xfId="12241" xr:uid="{00000000-0005-0000-0000-0000BE300000}"/>
    <cellStyle name="SAPBEXresData 10 2 3" xfId="12242" xr:uid="{00000000-0005-0000-0000-0000BF300000}"/>
    <cellStyle name="SAPBEXresData 10 3" xfId="12243" xr:uid="{00000000-0005-0000-0000-0000C0300000}"/>
    <cellStyle name="SAPBEXresData 10 4" xfId="12244" xr:uid="{00000000-0005-0000-0000-0000C1300000}"/>
    <cellStyle name="SAPBEXresData 11" xfId="12245" xr:uid="{00000000-0005-0000-0000-0000C2300000}"/>
    <cellStyle name="SAPBEXresData 11 2" xfId="12246" xr:uid="{00000000-0005-0000-0000-0000C3300000}"/>
    <cellStyle name="SAPBEXresData 11 2 2" xfId="12247" xr:uid="{00000000-0005-0000-0000-0000C4300000}"/>
    <cellStyle name="SAPBEXresData 11 2 3" xfId="12248" xr:uid="{00000000-0005-0000-0000-0000C5300000}"/>
    <cellStyle name="SAPBEXresData 11 3" xfId="12249" xr:uid="{00000000-0005-0000-0000-0000C6300000}"/>
    <cellStyle name="SAPBEXresData 11 4" xfId="12250" xr:uid="{00000000-0005-0000-0000-0000C7300000}"/>
    <cellStyle name="SAPBEXresData 12" xfId="12251" xr:uid="{00000000-0005-0000-0000-0000C8300000}"/>
    <cellStyle name="SAPBEXresData 12 2" xfId="12252" xr:uid="{00000000-0005-0000-0000-0000C9300000}"/>
    <cellStyle name="SAPBEXresData 12 2 2" xfId="12253" xr:uid="{00000000-0005-0000-0000-0000CA300000}"/>
    <cellStyle name="SAPBEXresData 12 2 3" xfId="12254" xr:uid="{00000000-0005-0000-0000-0000CB300000}"/>
    <cellStyle name="SAPBEXresData 12 3" xfId="12255" xr:uid="{00000000-0005-0000-0000-0000CC300000}"/>
    <cellStyle name="SAPBEXresData 12 4" xfId="12256" xr:uid="{00000000-0005-0000-0000-0000CD300000}"/>
    <cellStyle name="SAPBEXresData 13" xfId="12257" xr:uid="{00000000-0005-0000-0000-0000CE300000}"/>
    <cellStyle name="SAPBEXresData 13 2" xfId="12258" xr:uid="{00000000-0005-0000-0000-0000CF300000}"/>
    <cellStyle name="SAPBEXresData 13 2 2" xfId="12259" xr:uid="{00000000-0005-0000-0000-0000D0300000}"/>
    <cellStyle name="SAPBEXresData 13 2 3" xfId="12260" xr:uid="{00000000-0005-0000-0000-0000D1300000}"/>
    <cellStyle name="SAPBEXresData 13 3" xfId="12261" xr:uid="{00000000-0005-0000-0000-0000D2300000}"/>
    <cellStyle name="SAPBEXresData 13 4" xfId="12262" xr:uid="{00000000-0005-0000-0000-0000D3300000}"/>
    <cellStyle name="SAPBEXresData 14" xfId="12263" xr:uid="{00000000-0005-0000-0000-0000D4300000}"/>
    <cellStyle name="SAPBEXresData 14 2" xfId="12264" xr:uid="{00000000-0005-0000-0000-0000D5300000}"/>
    <cellStyle name="SAPBEXresData 14 2 2" xfId="12265" xr:uid="{00000000-0005-0000-0000-0000D6300000}"/>
    <cellStyle name="SAPBEXresData 14 2 3" xfId="12266" xr:uid="{00000000-0005-0000-0000-0000D7300000}"/>
    <cellStyle name="SAPBEXresData 14 3" xfId="12267" xr:uid="{00000000-0005-0000-0000-0000D8300000}"/>
    <cellStyle name="SAPBEXresData 14 4" xfId="12268" xr:uid="{00000000-0005-0000-0000-0000D9300000}"/>
    <cellStyle name="SAPBEXresData 15" xfId="12269" xr:uid="{00000000-0005-0000-0000-0000DA300000}"/>
    <cellStyle name="SAPBEXresData 15 2" xfId="12270" xr:uid="{00000000-0005-0000-0000-0000DB300000}"/>
    <cellStyle name="SAPBEXresData 15 2 2" xfId="12271" xr:uid="{00000000-0005-0000-0000-0000DC300000}"/>
    <cellStyle name="SAPBEXresData 15 2 3" xfId="12272" xr:uid="{00000000-0005-0000-0000-0000DD300000}"/>
    <cellStyle name="SAPBEXresData 15 3" xfId="12273" xr:uid="{00000000-0005-0000-0000-0000DE300000}"/>
    <cellStyle name="SAPBEXresData 15 4" xfId="12274" xr:uid="{00000000-0005-0000-0000-0000DF300000}"/>
    <cellStyle name="SAPBEXresData 16" xfId="12275" xr:uid="{00000000-0005-0000-0000-0000E0300000}"/>
    <cellStyle name="SAPBEXresData 17" xfId="12276" xr:uid="{00000000-0005-0000-0000-0000E1300000}"/>
    <cellStyle name="SAPBEXresData 18" xfId="12277" xr:uid="{00000000-0005-0000-0000-0000E2300000}"/>
    <cellStyle name="SAPBEXresData 19" xfId="12278" xr:uid="{00000000-0005-0000-0000-0000E3300000}"/>
    <cellStyle name="SAPBEXresData 2" xfId="12279" xr:uid="{00000000-0005-0000-0000-0000E4300000}"/>
    <cellStyle name="SAPBEXresData 2 2" xfId="12280" xr:uid="{00000000-0005-0000-0000-0000E5300000}"/>
    <cellStyle name="SAPBEXresData 2 2 2" xfId="12281" xr:uid="{00000000-0005-0000-0000-0000E6300000}"/>
    <cellStyle name="SAPBEXresData 2 2 3" xfId="12282" xr:uid="{00000000-0005-0000-0000-0000E7300000}"/>
    <cellStyle name="SAPBEXresData 2 3" xfId="12283" xr:uid="{00000000-0005-0000-0000-0000E8300000}"/>
    <cellStyle name="SAPBEXresData 2 4" xfId="12284" xr:uid="{00000000-0005-0000-0000-0000E9300000}"/>
    <cellStyle name="SAPBEXresData 3" xfId="12285" xr:uid="{00000000-0005-0000-0000-0000EA300000}"/>
    <cellStyle name="SAPBEXresData 3 2" xfId="12286" xr:uid="{00000000-0005-0000-0000-0000EB300000}"/>
    <cellStyle name="SAPBEXresData 3 2 2" xfId="12287" xr:uid="{00000000-0005-0000-0000-0000EC300000}"/>
    <cellStyle name="SAPBEXresData 3 2 3" xfId="12288" xr:uid="{00000000-0005-0000-0000-0000ED300000}"/>
    <cellStyle name="SAPBEXresData 3 3" xfId="12289" xr:uid="{00000000-0005-0000-0000-0000EE300000}"/>
    <cellStyle name="SAPBEXresData 3 4" xfId="12290" xr:uid="{00000000-0005-0000-0000-0000EF300000}"/>
    <cellStyle name="SAPBEXresData 4" xfId="12291" xr:uid="{00000000-0005-0000-0000-0000F0300000}"/>
    <cellStyle name="SAPBEXresData 4 2" xfId="12292" xr:uid="{00000000-0005-0000-0000-0000F1300000}"/>
    <cellStyle name="SAPBEXresData 4 2 2" xfId="12293" xr:uid="{00000000-0005-0000-0000-0000F2300000}"/>
    <cellStyle name="SAPBEXresData 4 2 3" xfId="12294" xr:uid="{00000000-0005-0000-0000-0000F3300000}"/>
    <cellStyle name="SAPBEXresData 4 3" xfId="12295" xr:uid="{00000000-0005-0000-0000-0000F4300000}"/>
    <cellStyle name="SAPBEXresData 4 4" xfId="12296" xr:uid="{00000000-0005-0000-0000-0000F5300000}"/>
    <cellStyle name="SAPBEXresData 5" xfId="12297" xr:uid="{00000000-0005-0000-0000-0000F6300000}"/>
    <cellStyle name="SAPBEXresData 5 2" xfId="12298" xr:uid="{00000000-0005-0000-0000-0000F7300000}"/>
    <cellStyle name="SAPBEXresData 5 2 2" xfId="12299" xr:uid="{00000000-0005-0000-0000-0000F8300000}"/>
    <cellStyle name="SAPBEXresData 5 2 3" xfId="12300" xr:uid="{00000000-0005-0000-0000-0000F9300000}"/>
    <cellStyle name="SAPBEXresData 5 3" xfId="12301" xr:uid="{00000000-0005-0000-0000-0000FA300000}"/>
    <cellStyle name="SAPBEXresData 5 4" xfId="12302" xr:uid="{00000000-0005-0000-0000-0000FB300000}"/>
    <cellStyle name="SAPBEXresData 6" xfId="12303" xr:uid="{00000000-0005-0000-0000-0000FC300000}"/>
    <cellStyle name="SAPBEXresData 6 2" xfId="12304" xr:uid="{00000000-0005-0000-0000-0000FD300000}"/>
    <cellStyle name="SAPBEXresData 6 2 2" xfId="12305" xr:uid="{00000000-0005-0000-0000-0000FE300000}"/>
    <cellStyle name="SAPBEXresData 6 2 3" xfId="12306" xr:uid="{00000000-0005-0000-0000-0000FF300000}"/>
    <cellStyle name="SAPBEXresData 6 3" xfId="12307" xr:uid="{00000000-0005-0000-0000-000000310000}"/>
    <cellStyle name="SAPBEXresData 6 4" xfId="12308" xr:uid="{00000000-0005-0000-0000-000001310000}"/>
    <cellStyle name="SAPBEXresData 7" xfId="12309" xr:uid="{00000000-0005-0000-0000-000002310000}"/>
    <cellStyle name="SAPBEXresData 7 2" xfId="12310" xr:uid="{00000000-0005-0000-0000-000003310000}"/>
    <cellStyle name="SAPBEXresData 7 2 2" xfId="12311" xr:uid="{00000000-0005-0000-0000-000004310000}"/>
    <cellStyle name="SAPBEXresData 7 2 3" xfId="12312" xr:uid="{00000000-0005-0000-0000-000005310000}"/>
    <cellStyle name="SAPBEXresData 7 3" xfId="12313" xr:uid="{00000000-0005-0000-0000-000006310000}"/>
    <cellStyle name="SAPBEXresData 7 4" xfId="12314" xr:uid="{00000000-0005-0000-0000-000007310000}"/>
    <cellStyle name="SAPBEXresData 8" xfId="12315" xr:uid="{00000000-0005-0000-0000-000008310000}"/>
    <cellStyle name="SAPBEXresData 8 2" xfId="12316" xr:uid="{00000000-0005-0000-0000-000009310000}"/>
    <cellStyle name="SAPBEXresData 8 2 2" xfId="12317" xr:uid="{00000000-0005-0000-0000-00000A310000}"/>
    <cellStyle name="SAPBEXresData 8 2 3" xfId="12318" xr:uid="{00000000-0005-0000-0000-00000B310000}"/>
    <cellStyle name="SAPBEXresData 8 3" xfId="12319" xr:uid="{00000000-0005-0000-0000-00000C310000}"/>
    <cellStyle name="SAPBEXresData 8 4" xfId="12320" xr:uid="{00000000-0005-0000-0000-00000D310000}"/>
    <cellStyle name="SAPBEXresData 9" xfId="12321" xr:uid="{00000000-0005-0000-0000-00000E310000}"/>
    <cellStyle name="SAPBEXresData 9 2" xfId="12322" xr:uid="{00000000-0005-0000-0000-00000F310000}"/>
    <cellStyle name="SAPBEXresData 9 2 2" xfId="12323" xr:uid="{00000000-0005-0000-0000-000010310000}"/>
    <cellStyle name="SAPBEXresData 9 2 3" xfId="12324" xr:uid="{00000000-0005-0000-0000-000011310000}"/>
    <cellStyle name="SAPBEXresData 9 3" xfId="12325" xr:uid="{00000000-0005-0000-0000-000012310000}"/>
    <cellStyle name="SAPBEXresData 9 4" xfId="12326" xr:uid="{00000000-0005-0000-0000-000013310000}"/>
    <cellStyle name="SAPBEXresDataEmph" xfId="12327" xr:uid="{00000000-0005-0000-0000-000014310000}"/>
    <cellStyle name="SAPBEXresDataEmph 10" xfId="12328" xr:uid="{00000000-0005-0000-0000-000015310000}"/>
    <cellStyle name="SAPBEXresDataEmph 10 2" xfId="12329" xr:uid="{00000000-0005-0000-0000-000016310000}"/>
    <cellStyle name="SAPBEXresDataEmph 10 2 2" xfId="12330" xr:uid="{00000000-0005-0000-0000-000017310000}"/>
    <cellStyle name="SAPBEXresDataEmph 10 2 3" xfId="12331" xr:uid="{00000000-0005-0000-0000-000018310000}"/>
    <cellStyle name="SAPBEXresDataEmph 10 3" xfId="12332" xr:uid="{00000000-0005-0000-0000-000019310000}"/>
    <cellStyle name="SAPBEXresDataEmph 10 4" xfId="12333" xr:uid="{00000000-0005-0000-0000-00001A310000}"/>
    <cellStyle name="SAPBEXresDataEmph 11" xfId="12334" xr:uid="{00000000-0005-0000-0000-00001B310000}"/>
    <cellStyle name="SAPBEXresDataEmph 11 2" xfId="12335" xr:uid="{00000000-0005-0000-0000-00001C310000}"/>
    <cellStyle name="SAPBEXresDataEmph 11 2 2" xfId="12336" xr:uid="{00000000-0005-0000-0000-00001D310000}"/>
    <cellStyle name="SAPBEXresDataEmph 11 2 3" xfId="12337" xr:uid="{00000000-0005-0000-0000-00001E310000}"/>
    <cellStyle name="SAPBEXresDataEmph 11 3" xfId="12338" xr:uid="{00000000-0005-0000-0000-00001F310000}"/>
    <cellStyle name="SAPBEXresDataEmph 11 4" xfId="12339" xr:uid="{00000000-0005-0000-0000-000020310000}"/>
    <cellStyle name="SAPBEXresDataEmph 12" xfId="12340" xr:uid="{00000000-0005-0000-0000-000021310000}"/>
    <cellStyle name="SAPBEXresDataEmph 12 2" xfId="12341" xr:uid="{00000000-0005-0000-0000-000022310000}"/>
    <cellStyle name="SAPBEXresDataEmph 12 2 2" xfId="12342" xr:uid="{00000000-0005-0000-0000-000023310000}"/>
    <cellStyle name="SAPBEXresDataEmph 12 2 3" xfId="12343" xr:uid="{00000000-0005-0000-0000-000024310000}"/>
    <cellStyle name="SAPBEXresDataEmph 12 3" xfId="12344" xr:uid="{00000000-0005-0000-0000-000025310000}"/>
    <cellStyle name="SAPBEXresDataEmph 12 4" xfId="12345" xr:uid="{00000000-0005-0000-0000-000026310000}"/>
    <cellStyle name="SAPBEXresDataEmph 13" xfId="12346" xr:uid="{00000000-0005-0000-0000-000027310000}"/>
    <cellStyle name="SAPBEXresDataEmph 13 2" xfId="12347" xr:uid="{00000000-0005-0000-0000-000028310000}"/>
    <cellStyle name="SAPBEXresDataEmph 13 2 2" xfId="12348" xr:uid="{00000000-0005-0000-0000-000029310000}"/>
    <cellStyle name="SAPBEXresDataEmph 13 2 3" xfId="12349" xr:uid="{00000000-0005-0000-0000-00002A310000}"/>
    <cellStyle name="SAPBEXresDataEmph 13 3" xfId="12350" xr:uid="{00000000-0005-0000-0000-00002B310000}"/>
    <cellStyle name="SAPBEXresDataEmph 13 4" xfId="12351" xr:uid="{00000000-0005-0000-0000-00002C310000}"/>
    <cellStyle name="SAPBEXresDataEmph 14" xfId="12352" xr:uid="{00000000-0005-0000-0000-00002D310000}"/>
    <cellStyle name="SAPBEXresDataEmph 14 2" xfId="12353" xr:uid="{00000000-0005-0000-0000-00002E310000}"/>
    <cellStyle name="SAPBEXresDataEmph 14 2 2" xfId="12354" xr:uid="{00000000-0005-0000-0000-00002F310000}"/>
    <cellStyle name="SAPBEXresDataEmph 14 2 3" xfId="12355" xr:uid="{00000000-0005-0000-0000-000030310000}"/>
    <cellStyle name="SAPBEXresDataEmph 14 3" xfId="12356" xr:uid="{00000000-0005-0000-0000-000031310000}"/>
    <cellStyle name="SAPBEXresDataEmph 14 4" xfId="12357" xr:uid="{00000000-0005-0000-0000-000032310000}"/>
    <cellStyle name="SAPBEXresDataEmph 15" xfId="12358" xr:uid="{00000000-0005-0000-0000-000033310000}"/>
    <cellStyle name="SAPBEXresDataEmph 15 2" xfId="12359" xr:uid="{00000000-0005-0000-0000-000034310000}"/>
    <cellStyle name="SAPBEXresDataEmph 15 2 2" xfId="12360" xr:uid="{00000000-0005-0000-0000-000035310000}"/>
    <cellStyle name="SAPBEXresDataEmph 15 2 3" xfId="12361" xr:uid="{00000000-0005-0000-0000-000036310000}"/>
    <cellStyle name="SAPBEXresDataEmph 15 3" xfId="12362" xr:uid="{00000000-0005-0000-0000-000037310000}"/>
    <cellStyle name="SAPBEXresDataEmph 15 4" xfId="12363" xr:uid="{00000000-0005-0000-0000-000038310000}"/>
    <cellStyle name="SAPBEXresDataEmph 16" xfId="12364" xr:uid="{00000000-0005-0000-0000-000039310000}"/>
    <cellStyle name="SAPBEXresDataEmph 17" xfId="12365" xr:uid="{00000000-0005-0000-0000-00003A310000}"/>
    <cellStyle name="SAPBEXresDataEmph 18" xfId="12366" xr:uid="{00000000-0005-0000-0000-00003B310000}"/>
    <cellStyle name="SAPBEXresDataEmph 19" xfId="12367" xr:uid="{00000000-0005-0000-0000-00003C310000}"/>
    <cellStyle name="SAPBEXresDataEmph 2" xfId="12368" xr:uid="{00000000-0005-0000-0000-00003D310000}"/>
    <cellStyle name="SAPBEXresDataEmph 2 2" xfId="12369" xr:uid="{00000000-0005-0000-0000-00003E310000}"/>
    <cellStyle name="SAPBEXresDataEmph 2 2 2" xfId="12370" xr:uid="{00000000-0005-0000-0000-00003F310000}"/>
    <cellStyle name="SAPBEXresDataEmph 2 2 3" xfId="12371" xr:uid="{00000000-0005-0000-0000-000040310000}"/>
    <cellStyle name="SAPBEXresDataEmph 2 3" xfId="12372" xr:uid="{00000000-0005-0000-0000-000041310000}"/>
    <cellStyle name="SAPBEXresDataEmph 2 4" xfId="12373" xr:uid="{00000000-0005-0000-0000-000042310000}"/>
    <cellStyle name="SAPBEXresDataEmph 3" xfId="12374" xr:uid="{00000000-0005-0000-0000-000043310000}"/>
    <cellStyle name="SAPBEXresDataEmph 3 2" xfId="12375" xr:uid="{00000000-0005-0000-0000-000044310000}"/>
    <cellStyle name="SAPBEXresDataEmph 3 2 2" xfId="12376" xr:uid="{00000000-0005-0000-0000-000045310000}"/>
    <cellStyle name="SAPBEXresDataEmph 3 2 3" xfId="12377" xr:uid="{00000000-0005-0000-0000-000046310000}"/>
    <cellStyle name="SAPBEXresDataEmph 3 3" xfId="12378" xr:uid="{00000000-0005-0000-0000-000047310000}"/>
    <cellStyle name="SAPBEXresDataEmph 3 4" xfId="12379" xr:uid="{00000000-0005-0000-0000-000048310000}"/>
    <cellStyle name="SAPBEXresDataEmph 4" xfId="12380" xr:uid="{00000000-0005-0000-0000-000049310000}"/>
    <cellStyle name="SAPBEXresDataEmph 4 2" xfId="12381" xr:uid="{00000000-0005-0000-0000-00004A310000}"/>
    <cellStyle name="SAPBEXresDataEmph 4 2 2" xfId="12382" xr:uid="{00000000-0005-0000-0000-00004B310000}"/>
    <cellStyle name="SAPBEXresDataEmph 4 2 3" xfId="12383" xr:uid="{00000000-0005-0000-0000-00004C310000}"/>
    <cellStyle name="SAPBEXresDataEmph 4 3" xfId="12384" xr:uid="{00000000-0005-0000-0000-00004D310000}"/>
    <cellStyle name="SAPBEXresDataEmph 4 4" xfId="12385" xr:uid="{00000000-0005-0000-0000-00004E310000}"/>
    <cellStyle name="SAPBEXresDataEmph 5" xfId="12386" xr:uid="{00000000-0005-0000-0000-00004F310000}"/>
    <cellStyle name="SAPBEXresDataEmph 5 2" xfId="12387" xr:uid="{00000000-0005-0000-0000-000050310000}"/>
    <cellStyle name="SAPBEXresDataEmph 5 2 2" xfId="12388" xr:uid="{00000000-0005-0000-0000-000051310000}"/>
    <cellStyle name="SAPBEXresDataEmph 5 2 3" xfId="12389" xr:uid="{00000000-0005-0000-0000-000052310000}"/>
    <cellStyle name="SAPBEXresDataEmph 5 3" xfId="12390" xr:uid="{00000000-0005-0000-0000-000053310000}"/>
    <cellStyle name="SAPBEXresDataEmph 5 4" xfId="12391" xr:uid="{00000000-0005-0000-0000-000054310000}"/>
    <cellStyle name="SAPBEXresDataEmph 6" xfId="12392" xr:uid="{00000000-0005-0000-0000-000055310000}"/>
    <cellStyle name="SAPBEXresDataEmph 6 2" xfId="12393" xr:uid="{00000000-0005-0000-0000-000056310000}"/>
    <cellStyle name="SAPBEXresDataEmph 6 2 2" xfId="12394" xr:uid="{00000000-0005-0000-0000-000057310000}"/>
    <cellStyle name="SAPBEXresDataEmph 6 2 3" xfId="12395" xr:uid="{00000000-0005-0000-0000-000058310000}"/>
    <cellStyle name="SAPBEXresDataEmph 6 3" xfId="12396" xr:uid="{00000000-0005-0000-0000-000059310000}"/>
    <cellStyle name="SAPBEXresDataEmph 6 4" xfId="12397" xr:uid="{00000000-0005-0000-0000-00005A310000}"/>
    <cellStyle name="SAPBEXresDataEmph 7" xfId="12398" xr:uid="{00000000-0005-0000-0000-00005B310000}"/>
    <cellStyle name="SAPBEXresDataEmph 7 2" xfId="12399" xr:uid="{00000000-0005-0000-0000-00005C310000}"/>
    <cellStyle name="SAPBEXresDataEmph 7 2 2" xfId="12400" xr:uid="{00000000-0005-0000-0000-00005D310000}"/>
    <cellStyle name="SAPBEXresDataEmph 7 2 3" xfId="12401" xr:uid="{00000000-0005-0000-0000-00005E310000}"/>
    <cellStyle name="SAPBEXresDataEmph 7 3" xfId="12402" xr:uid="{00000000-0005-0000-0000-00005F310000}"/>
    <cellStyle name="SAPBEXresDataEmph 7 4" xfId="12403" xr:uid="{00000000-0005-0000-0000-000060310000}"/>
    <cellStyle name="SAPBEXresDataEmph 8" xfId="12404" xr:uid="{00000000-0005-0000-0000-000061310000}"/>
    <cellStyle name="SAPBEXresDataEmph 8 2" xfId="12405" xr:uid="{00000000-0005-0000-0000-000062310000}"/>
    <cellStyle name="SAPBEXresDataEmph 8 2 2" xfId="12406" xr:uid="{00000000-0005-0000-0000-000063310000}"/>
    <cellStyle name="SAPBEXresDataEmph 8 2 3" xfId="12407" xr:uid="{00000000-0005-0000-0000-000064310000}"/>
    <cellStyle name="SAPBEXresDataEmph 8 3" xfId="12408" xr:uid="{00000000-0005-0000-0000-000065310000}"/>
    <cellStyle name="SAPBEXresDataEmph 8 4" xfId="12409" xr:uid="{00000000-0005-0000-0000-000066310000}"/>
    <cellStyle name="SAPBEXresDataEmph 9" xfId="12410" xr:uid="{00000000-0005-0000-0000-000067310000}"/>
    <cellStyle name="SAPBEXresDataEmph 9 2" xfId="12411" xr:uid="{00000000-0005-0000-0000-000068310000}"/>
    <cellStyle name="SAPBEXresDataEmph 9 2 2" xfId="12412" xr:uid="{00000000-0005-0000-0000-000069310000}"/>
    <cellStyle name="SAPBEXresDataEmph 9 2 3" xfId="12413" xr:uid="{00000000-0005-0000-0000-00006A310000}"/>
    <cellStyle name="SAPBEXresDataEmph 9 3" xfId="12414" xr:uid="{00000000-0005-0000-0000-00006B310000}"/>
    <cellStyle name="SAPBEXresDataEmph 9 4" xfId="12415" xr:uid="{00000000-0005-0000-0000-00006C310000}"/>
    <cellStyle name="SAPBEXresItem" xfId="12416" xr:uid="{00000000-0005-0000-0000-00006D310000}"/>
    <cellStyle name="SAPBEXresItem 10" xfId="12417" xr:uid="{00000000-0005-0000-0000-00006E310000}"/>
    <cellStyle name="SAPBEXresItem 10 2" xfId="12418" xr:uid="{00000000-0005-0000-0000-00006F310000}"/>
    <cellStyle name="SAPBEXresItem 10 2 2" xfId="12419" xr:uid="{00000000-0005-0000-0000-000070310000}"/>
    <cellStyle name="SAPBEXresItem 10 2 3" xfId="12420" xr:uid="{00000000-0005-0000-0000-000071310000}"/>
    <cellStyle name="SAPBEXresItem 10 3" xfId="12421" xr:uid="{00000000-0005-0000-0000-000072310000}"/>
    <cellStyle name="SAPBEXresItem 10 4" xfId="12422" xr:uid="{00000000-0005-0000-0000-000073310000}"/>
    <cellStyle name="SAPBEXresItem 11" xfId="12423" xr:uid="{00000000-0005-0000-0000-000074310000}"/>
    <cellStyle name="SAPBEXresItem 11 2" xfId="12424" xr:uid="{00000000-0005-0000-0000-000075310000}"/>
    <cellStyle name="SAPBEXresItem 11 2 2" xfId="12425" xr:uid="{00000000-0005-0000-0000-000076310000}"/>
    <cellStyle name="SAPBEXresItem 11 2 3" xfId="12426" xr:uid="{00000000-0005-0000-0000-000077310000}"/>
    <cellStyle name="SAPBEXresItem 11 3" xfId="12427" xr:uid="{00000000-0005-0000-0000-000078310000}"/>
    <cellStyle name="SAPBEXresItem 11 4" xfId="12428" xr:uid="{00000000-0005-0000-0000-000079310000}"/>
    <cellStyle name="SAPBEXresItem 12" xfId="12429" xr:uid="{00000000-0005-0000-0000-00007A310000}"/>
    <cellStyle name="SAPBEXresItem 12 2" xfId="12430" xr:uid="{00000000-0005-0000-0000-00007B310000}"/>
    <cellStyle name="SAPBEXresItem 12 2 2" xfId="12431" xr:uid="{00000000-0005-0000-0000-00007C310000}"/>
    <cellStyle name="SAPBEXresItem 12 2 3" xfId="12432" xr:uid="{00000000-0005-0000-0000-00007D310000}"/>
    <cellStyle name="SAPBEXresItem 12 3" xfId="12433" xr:uid="{00000000-0005-0000-0000-00007E310000}"/>
    <cellStyle name="SAPBEXresItem 12 4" xfId="12434" xr:uid="{00000000-0005-0000-0000-00007F310000}"/>
    <cellStyle name="SAPBEXresItem 13" xfId="12435" xr:uid="{00000000-0005-0000-0000-000080310000}"/>
    <cellStyle name="SAPBEXresItem 13 2" xfId="12436" xr:uid="{00000000-0005-0000-0000-000081310000}"/>
    <cellStyle name="SAPBEXresItem 13 2 2" xfId="12437" xr:uid="{00000000-0005-0000-0000-000082310000}"/>
    <cellStyle name="SAPBEXresItem 13 2 3" xfId="12438" xr:uid="{00000000-0005-0000-0000-000083310000}"/>
    <cellStyle name="SAPBEXresItem 13 3" xfId="12439" xr:uid="{00000000-0005-0000-0000-000084310000}"/>
    <cellStyle name="SAPBEXresItem 13 4" xfId="12440" xr:uid="{00000000-0005-0000-0000-000085310000}"/>
    <cellStyle name="SAPBEXresItem 14" xfId="12441" xr:uid="{00000000-0005-0000-0000-000086310000}"/>
    <cellStyle name="SAPBEXresItem 14 2" xfId="12442" xr:uid="{00000000-0005-0000-0000-000087310000}"/>
    <cellStyle name="SAPBEXresItem 14 2 2" xfId="12443" xr:uid="{00000000-0005-0000-0000-000088310000}"/>
    <cellStyle name="SAPBEXresItem 14 2 3" xfId="12444" xr:uid="{00000000-0005-0000-0000-000089310000}"/>
    <cellStyle name="SAPBEXresItem 14 3" xfId="12445" xr:uid="{00000000-0005-0000-0000-00008A310000}"/>
    <cellStyle name="SAPBEXresItem 14 4" xfId="12446" xr:uid="{00000000-0005-0000-0000-00008B310000}"/>
    <cellStyle name="SAPBEXresItem 15" xfId="12447" xr:uid="{00000000-0005-0000-0000-00008C310000}"/>
    <cellStyle name="SAPBEXresItem 15 2" xfId="12448" xr:uid="{00000000-0005-0000-0000-00008D310000}"/>
    <cellStyle name="SAPBEXresItem 15 2 2" xfId="12449" xr:uid="{00000000-0005-0000-0000-00008E310000}"/>
    <cellStyle name="SAPBEXresItem 15 2 3" xfId="12450" xr:uid="{00000000-0005-0000-0000-00008F310000}"/>
    <cellStyle name="SAPBEXresItem 15 3" xfId="12451" xr:uid="{00000000-0005-0000-0000-000090310000}"/>
    <cellStyle name="SAPBEXresItem 15 4" xfId="12452" xr:uid="{00000000-0005-0000-0000-000091310000}"/>
    <cellStyle name="SAPBEXresItem 16" xfId="12453" xr:uid="{00000000-0005-0000-0000-000092310000}"/>
    <cellStyle name="SAPBEXresItem 17" xfId="12454" xr:uid="{00000000-0005-0000-0000-000093310000}"/>
    <cellStyle name="SAPBEXresItem 18" xfId="12455" xr:uid="{00000000-0005-0000-0000-000094310000}"/>
    <cellStyle name="SAPBEXresItem 19" xfId="12456" xr:uid="{00000000-0005-0000-0000-000095310000}"/>
    <cellStyle name="SAPBEXresItem 2" xfId="12457" xr:uid="{00000000-0005-0000-0000-000096310000}"/>
    <cellStyle name="SAPBEXresItem 2 2" xfId="12458" xr:uid="{00000000-0005-0000-0000-000097310000}"/>
    <cellStyle name="SAPBEXresItem 2 2 2" xfId="12459" xr:uid="{00000000-0005-0000-0000-000098310000}"/>
    <cellStyle name="SAPBEXresItem 2 2 3" xfId="12460" xr:uid="{00000000-0005-0000-0000-000099310000}"/>
    <cellStyle name="SAPBEXresItem 2 3" xfId="12461" xr:uid="{00000000-0005-0000-0000-00009A310000}"/>
    <cellStyle name="SAPBEXresItem 2 4" xfId="12462" xr:uid="{00000000-0005-0000-0000-00009B310000}"/>
    <cellStyle name="SAPBEXresItem 3" xfId="12463" xr:uid="{00000000-0005-0000-0000-00009C310000}"/>
    <cellStyle name="SAPBEXresItem 3 2" xfId="12464" xr:uid="{00000000-0005-0000-0000-00009D310000}"/>
    <cellStyle name="SAPBEXresItem 3 2 2" xfId="12465" xr:uid="{00000000-0005-0000-0000-00009E310000}"/>
    <cellStyle name="SAPBEXresItem 3 2 3" xfId="12466" xr:uid="{00000000-0005-0000-0000-00009F310000}"/>
    <cellStyle name="SAPBEXresItem 3 3" xfId="12467" xr:uid="{00000000-0005-0000-0000-0000A0310000}"/>
    <cellStyle name="SAPBEXresItem 3 4" xfId="12468" xr:uid="{00000000-0005-0000-0000-0000A1310000}"/>
    <cellStyle name="SAPBEXresItem 4" xfId="12469" xr:uid="{00000000-0005-0000-0000-0000A2310000}"/>
    <cellStyle name="SAPBEXresItem 4 2" xfId="12470" xr:uid="{00000000-0005-0000-0000-0000A3310000}"/>
    <cellStyle name="SAPBEXresItem 4 2 2" xfId="12471" xr:uid="{00000000-0005-0000-0000-0000A4310000}"/>
    <cellStyle name="SAPBEXresItem 4 2 3" xfId="12472" xr:uid="{00000000-0005-0000-0000-0000A5310000}"/>
    <cellStyle name="SAPBEXresItem 4 3" xfId="12473" xr:uid="{00000000-0005-0000-0000-0000A6310000}"/>
    <cellStyle name="SAPBEXresItem 4 4" xfId="12474" xr:uid="{00000000-0005-0000-0000-0000A7310000}"/>
    <cellStyle name="SAPBEXresItem 5" xfId="12475" xr:uid="{00000000-0005-0000-0000-0000A8310000}"/>
    <cellStyle name="SAPBEXresItem 5 2" xfId="12476" xr:uid="{00000000-0005-0000-0000-0000A9310000}"/>
    <cellStyle name="SAPBEXresItem 5 2 2" xfId="12477" xr:uid="{00000000-0005-0000-0000-0000AA310000}"/>
    <cellStyle name="SAPBEXresItem 5 2 3" xfId="12478" xr:uid="{00000000-0005-0000-0000-0000AB310000}"/>
    <cellStyle name="SAPBEXresItem 5 3" xfId="12479" xr:uid="{00000000-0005-0000-0000-0000AC310000}"/>
    <cellStyle name="SAPBEXresItem 5 4" xfId="12480" xr:uid="{00000000-0005-0000-0000-0000AD310000}"/>
    <cellStyle name="SAPBEXresItem 6" xfId="12481" xr:uid="{00000000-0005-0000-0000-0000AE310000}"/>
    <cellStyle name="SAPBEXresItem 6 2" xfId="12482" xr:uid="{00000000-0005-0000-0000-0000AF310000}"/>
    <cellStyle name="SAPBEXresItem 6 2 2" xfId="12483" xr:uid="{00000000-0005-0000-0000-0000B0310000}"/>
    <cellStyle name="SAPBEXresItem 6 2 3" xfId="12484" xr:uid="{00000000-0005-0000-0000-0000B1310000}"/>
    <cellStyle name="SAPBEXresItem 6 3" xfId="12485" xr:uid="{00000000-0005-0000-0000-0000B2310000}"/>
    <cellStyle name="SAPBEXresItem 6 4" xfId="12486" xr:uid="{00000000-0005-0000-0000-0000B3310000}"/>
    <cellStyle name="SAPBEXresItem 7" xfId="12487" xr:uid="{00000000-0005-0000-0000-0000B4310000}"/>
    <cellStyle name="SAPBEXresItem 7 2" xfId="12488" xr:uid="{00000000-0005-0000-0000-0000B5310000}"/>
    <cellStyle name="SAPBEXresItem 7 2 2" xfId="12489" xr:uid="{00000000-0005-0000-0000-0000B6310000}"/>
    <cellStyle name="SAPBEXresItem 7 2 3" xfId="12490" xr:uid="{00000000-0005-0000-0000-0000B7310000}"/>
    <cellStyle name="SAPBEXresItem 7 3" xfId="12491" xr:uid="{00000000-0005-0000-0000-0000B8310000}"/>
    <cellStyle name="SAPBEXresItem 7 4" xfId="12492" xr:uid="{00000000-0005-0000-0000-0000B9310000}"/>
    <cellStyle name="SAPBEXresItem 8" xfId="12493" xr:uid="{00000000-0005-0000-0000-0000BA310000}"/>
    <cellStyle name="SAPBEXresItem 8 2" xfId="12494" xr:uid="{00000000-0005-0000-0000-0000BB310000}"/>
    <cellStyle name="SAPBEXresItem 8 2 2" xfId="12495" xr:uid="{00000000-0005-0000-0000-0000BC310000}"/>
    <cellStyle name="SAPBEXresItem 8 2 3" xfId="12496" xr:uid="{00000000-0005-0000-0000-0000BD310000}"/>
    <cellStyle name="SAPBEXresItem 8 3" xfId="12497" xr:uid="{00000000-0005-0000-0000-0000BE310000}"/>
    <cellStyle name="SAPBEXresItem 8 4" xfId="12498" xr:uid="{00000000-0005-0000-0000-0000BF310000}"/>
    <cellStyle name="SAPBEXresItem 9" xfId="12499" xr:uid="{00000000-0005-0000-0000-0000C0310000}"/>
    <cellStyle name="SAPBEXresItem 9 2" xfId="12500" xr:uid="{00000000-0005-0000-0000-0000C1310000}"/>
    <cellStyle name="SAPBEXresItem 9 2 2" xfId="12501" xr:uid="{00000000-0005-0000-0000-0000C2310000}"/>
    <cellStyle name="SAPBEXresItem 9 2 3" xfId="12502" xr:uid="{00000000-0005-0000-0000-0000C3310000}"/>
    <cellStyle name="SAPBEXresItem 9 3" xfId="12503" xr:uid="{00000000-0005-0000-0000-0000C4310000}"/>
    <cellStyle name="SAPBEXresItem 9 4" xfId="12504" xr:uid="{00000000-0005-0000-0000-0000C5310000}"/>
    <cellStyle name="SAPBEXresItemX" xfId="12505" xr:uid="{00000000-0005-0000-0000-0000C6310000}"/>
    <cellStyle name="SAPBEXresItemX 10" xfId="12506" xr:uid="{00000000-0005-0000-0000-0000C7310000}"/>
    <cellStyle name="SAPBEXresItemX 10 2" xfId="12507" xr:uid="{00000000-0005-0000-0000-0000C8310000}"/>
    <cellStyle name="SAPBEXresItemX 10 2 2" xfId="12508" xr:uid="{00000000-0005-0000-0000-0000C9310000}"/>
    <cellStyle name="SAPBEXresItemX 10 2 3" xfId="12509" xr:uid="{00000000-0005-0000-0000-0000CA310000}"/>
    <cellStyle name="SAPBEXresItemX 10 3" xfId="12510" xr:uid="{00000000-0005-0000-0000-0000CB310000}"/>
    <cellStyle name="SAPBEXresItemX 10 4" xfId="12511" xr:uid="{00000000-0005-0000-0000-0000CC310000}"/>
    <cellStyle name="SAPBEXresItemX 11" xfId="12512" xr:uid="{00000000-0005-0000-0000-0000CD310000}"/>
    <cellStyle name="SAPBEXresItemX 11 2" xfId="12513" xr:uid="{00000000-0005-0000-0000-0000CE310000}"/>
    <cellStyle name="SAPBEXresItemX 11 2 2" xfId="12514" xr:uid="{00000000-0005-0000-0000-0000CF310000}"/>
    <cellStyle name="SAPBEXresItemX 11 2 3" xfId="12515" xr:uid="{00000000-0005-0000-0000-0000D0310000}"/>
    <cellStyle name="SAPBEXresItemX 11 3" xfId="12516" xr:uid="{00000000-0005-0000-0000-0000D1310000}"/>
    <cellStyle name="SAPBEXresItemX 11 4" xfId="12517" xr:uid="{00000000-0005-0000-0000-0000D2310000}"/>
    <cellStyle name="SAPBEXresItemX 12" xfId="12518" xr:uid="{00000000-0005-0000-0000-0000D3310000}"/>
    <cellStyle name="SAPBEXresItemX 12 2" xfId="12519" xr:uid="{00000000-0005-0000-0000-0000D4310000}"/>
    <cellStyle name="SAPBEXresItemX 12 2 2" xfId="12520" xr:uid="{00000000-0005-0000-0000-0000D5310000}"/>
    <cellStyle name="SAPBEXresItemX 12 2 3" xfId="12521" xr:uid="{00000000-0005-0000-0000-0000D6310000}"/>
    <cellStyle name="SAPBEXresItemX 12 3" xfId="12522" xr:uid="{00000000-0005-0000-0000-0000D7310000}"/>
    <cellStyle name="SAPBEXresItemX 12 4" xfId="12523" xr:uid="{00000000-0005-0000-0000-0000D8310000}"/>
    <cellStyle name="SAPBEXresItemX 13" xfId="12524" xr:uid="{00000000-0005-0000-0000-0000D9310000}"/>
    <cellStyle name="SAPBEXresItemX 13 2" xfId="12525" xr:uid="{00000000-0005-0000-0000-0000DA310000}"/>
    <cellStyle name="SAPBEXresItemX 13 2 2" xfId="12526" xr:uid="{00000000-0005-0000-0000-0000DB310000}"/>
    <cellStyle name="SAPBEXresItemX 13 2 3" xfId="12527" xr:uid="{00000000-0005-0000-0000-0000DC310000}"/>
    <cellStyle name="SAPBEXresItemX 13 3" xfId="12528" xr:uid="{00000000-0005-0000-0000-0000DD310000}"/>
    <cellStyle name="SAPBEXresItemX 13 4" xfId="12529" xr:uid="{00000000-0005-0000-0000-0000DE310000}"/>
    <cellStyle name="SAPBEXresItemX 14" xfId="12530" xr:uid="{00000000-0005-0000-0000-0000DF310000}"/>
    <cellStyle name="SAPBEXresItemX 14 2" xfId="12531" xr:uid="{00000000-0005-0000-0000-0000E0310000}"/>
    <cellStyle name="SAPBEXresItemX 14 2 2" xfId="12532" xr:uid="{00000000-0005-0000-0000-0000E1310000}"/>
    <cellStyle name="SAPBEXresItemX 14 2 3" xfId="12533" xr:uid="{00000000-0005-0000-0000-0000E2310000}"/>
    <cellStyle name="SAPBEXresItemX 14 3" xfId="12534" xr:uid="{00000000-0005-0000-0000-0000E3310000}"/>
    <cellStyle name="SAPBEXresItemX 14 4" xfId="12535" xr:uid="{00000000-0005-0000-0000-0000E4310000}"/>
    <cellStyle name="SAPBEXresItemX 15" xfId="12536" xr:uid="{00000000-0005-0000-0000-0000E5310000}"/>
    <cellStyle name="SAPBEXresItemX 15 2" xfId="12537" xr:uid="{00000000-0005-0000-0000-0000E6310000}"/>
    <cellStyle name="SAPBEXresItemX 15 2 2" xfId="12538" xr:uid="{00000000-0005-0000-0000-0000E7310000}"/>
    <cellStyle name="SAPBEXresItemX 15 2 3" xfId="12539" xr:uid="{00000000-0005-0000-0000-0000E8310000}"/>
    <cellStyle name="SAPBEXresItemX 15 3" xfId="12540" xr:uid="{00000000-0005-0000-0000-0000E9310000}"/>
    <cellStyle name="SAPBEXresItemX 15 4" xfId="12541" xr:uid="{00000000-0005-0000-0000-0000EA310000}"/>
    <cellStyle name="SAPBEXresItemX 16" xfId="12542" xr:uid="{00000000-0005-0000-0000-0000EB310000}"/>
    <cellStyle name="SAPBEXresItemX 17" xfId="12543" xr:uid="{00000000-0005-0000-0000-0000EC310000}"/>
    <cellStyle name="SAPBEXresItemX 18" xfId="12544" xr:uid="{00000000-0005-0000-0000-0000ED310000}"/>
    <cellStyle name="SAPBEXresItemX 19" xfId="12545" xr:uid="{00000000-0005-0000-0000-0000EE310000}"/>
    <cellStyle name="SAPBEXresItemX 2" xfId="12546" xr:uid="{00000000-0005-0000-0000-0000EF310000}"/>
    <cellStyle name="SAPBEXresItemX 2 2" xfId="12547" xr:uid="{00000000-0005-0000-0000-0000F0310000}"/>
    <cellStyle name="SAPBEXresItemX 2 2 2" xfId="12548" xr:uid="{00000000-0005-0000-0000-0000F1310000}"/>
    <cellStyle name="SAPBEXresItemX 2 2 3" xfId="12549" xr:uid="{00000000-0005-0000-0000-0000F2310000}"/>
    <cellStyle name="SAPBEXresItemX 2 3" xfId="12550" xr:uid="{00000000-0005-0000-0000-0000F3310000}"/>
    <cellStyle name="SAPBEXresItemX 2 4" xfId="12551" xr:uid="{00000000-0005-0000-0000-0000F4310000}"/>
    <cellStyle name="SAPBEXresItemX 3" xfId="12552" xr:uid="{00000000-0005-0000-0000-0000F5310000}"/>
    <cellStyle name="SAPBEXresItemX 3 2" xfId="12553" xr:uid="{00000000-0005-0000-0000-0000F6310000}"/>
    <cellStyle name="SAPBEXresItemX 3 2 2" xfId="12554" xr:uid="{00000000-0005-0000-0000-0000F7310000}"/>
    <cellStyle name="SAPBEXresItemX 3 2 3" xfId="12555" xr:uid="{00000000-0005-0000-0000-0000F8310000}"/>
    <cellStyle name="SAPBEXresItemX 3 3" xfId="12556" xr:uid="{00000000-0005-0000-0000-0000F9310000}"/>
    <cellStyle name="SAPBEXresItemX 3 4" xfId="12557" xr:uid="{00000000-0005-0000-0000-0000FA310000}"/>
    <cellStyle name="SAPBEXresItemX 4" xfId="12558" xr:uid="{00000000-0005-0000-0000-0000FB310000}"/>
    <cellStyle name="SAPBEXresItemX 4 2" xfId="12559" xr:uid="{00000000-0005-0000-0000-0000FC310000}"/>
    <cellStyle name="SAPBEXresItemX 4 2 2" xfId="12560" xr:uid="{00000000-0005-0000-0000-0000FD310000}"/>
    <cellStyle name="SAPBEXresItemX 4 2 3" xfId="12561" xr:uid="{00000000-0005-0000-0000-0000FE310000}"/>
    <cellStyle name="SAPBEXresItemX 4 3" xfId="12562" xr:uid="{00000000-0005-0000-0000-0000FF310000}"/>
    <cellStyle name="SAPBEXresItemX 4 4" xfId="12563" xr:uid="{00000000-0005-0000-0000-000000320000}"/>
    <cellStyle name="SAPBEXresItemX 5" xfId="12564" xr:uid="{00000000-0005-0000-0000-000001320000}"/>
    <cellStyle name="SAPBEXresItemX 5 2" xfId="12565" xr:uid="{00000000-0005-0000-0000-000002320000}"/>
    <cellStyle name="SAPBEXresItemX 5 2 2" xfId="12566" xr:uid="{00000000-0005-0000-0000-000003320000}"/>
    <cellStyle name="SAPBEXresItemX 5 2 3" xfId="12567" xr:uid="{00000000-0005-0000-0000-000004320000}"/>
    <cellStyle name="SAPBEXresItemX 5 3" xfId="12568" xr:uid="{00000000-0005-0000-0000-000005320000}"/>
    <cellStyle name="SAPBEXresItemX 5 4" xfId="12569" xr:uid="{00000000-0005-0000-0000-000006320000}"/>
    <cellStyle name="SAPBEXresItemX 6" xfId="12570" xr:uid="{00000000-0005-0000-0000-000007320000}"/>
    <cellStyle name="SAPBEXresItemX 6 2" xfId="12571" xr:uid="{00000000-0005-0000-0000-000008320000}"/>
    <cellStyle name="SAPBEXresItemX 6 2 2" xfId="12572" xr:uid="{00000000-0005-0000-0000-000009320000}"/>
    <cellStyle name="SAPBEXresItemX 6 2 3" xfId="12573" xr:uid="{00000000-0005-0000-0000-00000A320000}"/>
    <cellStyle name="SAPBEXresItemX 6 3" xfId="12574" xr:uid="{00000000-0005-0000-0000-00000B320000}"/>
    <cellStyle name="SAPBEXresItemX 6 4" xfId="12575" xr:uid="{00000000-0005-0000-0000-00000C320000}"/>
    <cellStyle name="SAPBEXresItemX 7" xfId="12576" xr:uid="{00000000-0005-0000-0000-00000D320000}"/>
    <cellStyle name="SAPBEXresItemX 7 2" xfId="12577" xr:uid="{00000000-0005-0000-0000-00000E320000}"/>
    <cellStyle name="SAPBEXresItemX 7 2 2" xfId="12578" xr:uid="{00000000-0005-0000-0000-00000F320000}"/>
    <cellStyle name="SAPBEXresItemX 7 2 3" xfId="12579" xr:uid="{00000000-0005-0000-0000-000010320000}"/>
    <cellStyle name="SAPBEXresItemX 7 3" xfId="12580" xr:uid="{00000000-0005-0000-0000-000011320000}"/>
    <cellStyle name="SAPBEXresItemX 7 4" xfId="12581" xr:uid="{00000000-0005-0000-0000-000012320000}"/>
    <cellStyle name="SAPBEXresItemX 8" xfId="12582" xr:uid="{00000000-0005-0000-0000-000013320000}"/>
    <cellStyle name="SAPBEXresItemX 8 2" xfId="12583" xr:uid="{00000000-0005-0000-0000-000014320000}"/>
    <cellStyle name="SAPBEXresItemX 8 2 2" xfId="12584" xr:uid="{00000000-0005-0000-0000-000015320000}"/>
    <cellStyle name="SAPBEXresItemX 8 2 3" xfId="12585" xr:uid="{00000000-0005-0000-0000-000016320000}"/>
    <cellStyle name="SAPBEXresItemX 8 3" xfId="12586" xr:uid="{00000000-0005-0000-0000-000017320000}"/>
    <cellStyle name="SAPBEXresItemX 8 4" xfId="12587" xr:uid="{00000000-0005-0000-0000-000018320000}"/>
    <cellStyle name="SAPBEXresItemX 9" xfId="12588" xr:uid="{00000000-0005-0000-0000-000019320000}"/>
    <cellStyle name="SAPBEXresItemX 9 2" xfId="12589" xr:uid="{00000000-0005-0000-0000-00001A320000}"/>
    <cellStyle name="SAPBEXresItemX 9 2 2" xfId="12590" xr:uid="{00000000-0005-0000-0000-00001B320000}"/>
    <cellStyle name="SAPBEXresItemX 9 2 3" xfId="12591" xr:uid="{00000000-0005-0000-0000-00001C320000}"/>
    <cellStyle name="SAPBEXresItemX 9 3" xfId="12592" xr:uid="{00000000-0005-0000-0000-00001D320000}"/>
    <cellStyle name="SAPBEXresItemX 9 4" xfId="12593" xr:uid="{00000000-0005-0000-0000-00001E320000}"/>
    <cellStyle name="SAPBEXstdData" xfId="12594" xr:uid="{00000000-0005-0000-0000-00001F320000}"/>
    <cellStyle name="SAPBEXstdData 10" xfId="12595" xr:uid="{00000000-0005-0000-0000-000020320000}"/>
    <cellStyle name="SAPBEXstdData 10 2" xfId="12596" xr:uid="{00000000-0005-0000-0000-000021320000}"/>
    <cellStyle name="SAPBEXstdData 10 2 2" xfId="12597" xr:uid="{00000000-0005-0000-0000-000022320000}"/>
    <cellStyle name="SAPBEXstdData 10 2 3" xfId="12598" xr:uid="{00000000-0005-0000-0000-000023320000}"/>
    <cellStyle name="SAPBEXstdData 10 3" xfId="12599" xr:uid="{00000000-0005-0000-0000-000024320000}"/>
    <cellStyle name="SAPBEXstdData 10 4" xfId="12600" xr:uid="{00000000-0005-0000-0000-000025320000}"/>
    <cellStyle name="SAPBEXstdData 11" xfId="12601" xr:uid="{00000000-0005-0000-0000-000026320000}"/>
    <cellStyle name="SAPBEXstdData 11 2" xfId="12602" xr:uid="{00000000-0005-0000-0000-000027320000}"/>
    <cellStyle name="SAPBEXstdData 11 2 2" xfId="12603" xr:uid="{00000000-0005-0000-0000-000028320000}"/>
    <cellStyle name="SAPBEXstdData 11 2 3" xfId="12604" xr:uid="{00000000-0005-0000-0000-000029320000}"/>
    <cellStyle name="SAPBEXstdData 11 3" xfId="12605" xr:uid="{00000000-0005-0000-0000-00002A320000}"/>
    <cellStyle name="SAPBEXstdData 11 4" xfId="12606" xr:uid="{00000000-0005-0000-0000-00002B320000}"/>
    <cellStyle name="SAPBEXstdData 12" xfId="12607" xr:uid="{00000000-0005-0000-0000-00002C320000}"/>
    <cellStyle name="SAPBEXstdData 12 2" xfId="12608" xr:uid="{00000000-0005-0000-0000-00002D320000}"/>
    <cellStyle name="SAPBEXstdData 12 2 2" xfId="12609" xr:uid="{00000000-0005-0000-0000-00002E320000}"/>
    <cellStyle name="SAPBEXstdData 12 2 3" xfId="12610" xr:uid="{00000000-0005-0000-0000-00002F320000}"/>
    <cellStyle name="SAPBEXstdData 12 3" xfId="12611" xr:uid="{00000000-0005-0000-0000-000030320000}"/>
    <cellStyle name="SAPBEXstdData 12 4" xfId="12612" xr:uid="{00000000-0005-0000-0000-000031320000}"/>
    <cellStyle name="SAPBEXstdData 13" xfId="12613" xr:uid="{00000000-0005-0000-0000-000032320000}"/>
    <cellStyle name="SAPBEXstdData 13 2" xfId="12614" xr:uid="{00000000-0005-0000-0000-000033320000}"/>
    <cellStyle name="SAPBEXstdData 13 2 2" xfId="12615" xr:uid="{00000000-0005-0000-0000-000034320000}"/>
    <cellStyle name="SAPBEXstdData 13 2 3" xfId="12616" xr:uid="{00000000-0005-0000-0000-000035320000}"/>
    <cellStyle name="SAPBEXstdData 13 3" xfId="12617" xr:uid="{00000000-0005-0000-0000-000036320000}"/>
    <cellStyle name="SAPBEXstdData 13 4" xfId="12618" xr:uid="{00000000-0005-0000-0000-000037320000}"/>
    <cellStyle name="SAPBEXstdData 14" xfId="12619" xr:uid="{00000000-0005-0000-0000-000038320000}"/>
    <cellStyle name="SAPBEXstdData 14 2" xfId="12620" xr:uid="{00000000-0005-0000-0000-000039320000}"/>
    <cellStyle name="SAPBEXstdData 14 2 2" xfId="12621" xr:uid="{00000000-0005-0000-0000-00003A320000}"/>
    <cellStyle name="SAPBEXstdData 14 2 3" xfId="12622" xr:uid="{00000000-0005-0000-0000-00003B320000}"/>
    <cellStyle name="SAPBEXstdData 14 3" xfId="12623" xr:uid="{00000000-0005-0000-0000-00003C320000}"/>
    <cellStyle name="SAPBEXstdData 14 4" xfId="12624" xr:uid="{00000000-0005-0000-0000-00003D320000}"/>
    <cellStyle name="SAPBEXstdData 15" xfId="12625" xr:uid="{00000000-0005-0000-0000-00003E320000}"/>
    <cellStyle name="SAPBEXstdData 15 2" xfId="12626" xr:uid="{00000000-0005-0000-0000-00003F320000}"/>
    <cellStyle name="SAPBEXstdData 15 2 2" xfId="12627" xr:uid="{00000000-0005-0000-0000-000040320000}"/>
    <cellStyle name="SAPBEXstdData 15 2 3" xfId="12628" xr:uid="{00000000-0005-0000-0000-000041320000}"/>
    <cellStyle name="SAPBEXstdData 15 3" xfId="12629" xr:uid="{00000000-0005-0000-0000-000042320000}"/>
    <cellStyle name="SAPBEXstdData 15 4" xfId="12630" xr:uid="{00000000-0005-0000-0000-000043320000}"/>
    <cellStyle name="SAPBEXstdData 16" xfId="12631" xr:uid="{00000000-0005-0000-0000-000044320000}"/>
    <cellStyle name="SAPBEXstdData 17" xfId="12632" xr:uid="{00000000-0005-0000-0000-000045320000}"/>
    <cellStyle name="SAPBEXstdData 18" xfId="12633" xr:uid="{00000000-0005-0000-0000-000046320000}"/>
    <cellStyle name="SAPBEXstdData 19" xfId="12634" xr:uid="{00000000-0005-0000-0000-000047320000}"/>
    <cellStyle name="SAPBEXstdData 2" xfId="12635" xr:uid="{00000000-0005-0000-0000-000048320000}"/>
    <cellStyle name="SAPBEXstdData 2 2" xfId="12636" xr:uid="{00000000-0005-0000-0000-000049320000}"/>
    <cellStyle name="SAPBEXstdData 2 2 2" xfId="12637" xr:uid="{00000000-0005-0000-0000-00004A320000}"/>
    <cellStyle name="SAPBEXstdData 2 2 3" xfId="12638" xr:uid="{00000000-0005-0000-0000-00004B320000}"/>
    <cellStyle name="SAPBEXstdData 2 3" xfId="12639" xr:uid="{00000000-0005-0000-0000-00004C320000}"/>
    <cellStyle name="SAPBEXstdData 2 4" xfId="12640" xr:uid="{00000000-0005-0000-0000-00004D320000}"/>
    <cellStyle name="SAPBEXstdData 3" xfId="12641" xr:uid="{00000000-0005-0000-0000-00004E320000}"/>
    <cellStyle name="SAPBEXstdData 3 2" xfId="12642" xr:uid="{00000000-0005-0000-0000-00004F320000}"/>
    <cellStyle name="SAPBEXstdData 3 2 2" xfId="12643" xr:uid="{00000000-0005-0000-0000-000050320000}"/>
    <cellStyle name="SAPBEXstdData 3 2 3" xfId="12644" xr:uid="{00000000-0005-0000-0000-000051320000}"/>
    <cellStyle name="SAPBEXstdData 3 3" xfId="12645" xr:uid="{00000000-0005-0000-0000-000052320000}"/>
    <cellStyle name="SAPBEXstdData 3 4" xfId="12646" xr:uid="{00000000-0005-0000-0000-000053320000}"/>
    <cellStyle name="SAPBEXstdData 4" xfId="12647" xr:uid="{00000000-0005-0000-0000-000054320000}"/>
    <cellStyle name="SAPBEXstdData 4 2" xfId="12648" xr:uid="{00000000-0005-0000-0000-000055320000}"/>
    <cellStyle name="SAPBEXstdData 4 2 2" xfId="12649" xr:uid="{00000000-0005-0000-0000-000056320000}"/>
    <cellStyle name="SAPBEXstdData 4 2 3" xfId="12650" xr:uid="{00000000-0005-0000-0000-000057320000}"/>
    <cellStyle name="SAPBEXstdData 4 3" xfId="12651" xr:uid="{00000000-0005-0000-0000-000058320000}"/>
    <cellStyle name="SAPBEXstdData 4 4" xfId="12652" xr:uid="{00000000-0005-0000-0000-000059320000}"/>
    <cellStyle name="SAPBEXstdData 5" xfId="12653" xr:uid="{00000000-0005-0000-0000-00005A320000}"/>
    <cellStyle name="SAPBEXstdData 5 2" xfId="12654" xr:uid="{00000000-0005-0000-0000-00005B320000}"/>
    <cellStyle name="SAPBEXstdData 5 2 2" xfId="12655" xr:uid="{00000000-0005-0000-0000-00005C320000}"/>
    <cellStyle name="SAPBEXstdData 5 2 3" xfId="12656" xr:uid="{00000000-0005-0000-0000-00005D320000}"/>
    <cellStyle name="SAPBEXstdData 5 3" xfId="12657" xr:uid="{00000000-0005-0000-0000-00005E320000}"/>
    <cellStyle name="SAPBEXstdData 5 4" xfId="12658" xr:uid="{00000000-0005-0000-0000-00005F320000}"/>
    <cellStyle name="SAPBEXstdData 6" xfId="12659" xr:uid="{00000000-0005-0000-0000-000060320000}"/>
    <cellStyle name="SAPBEXstdData 6 2" xfId="12660" xr:uid="{00000000-0005-0000-0000-000061320000}"/>
    <cellStyle name="SAPBEXstdData 6 2 2" xfId="12661" xr:uid="{00000000-0005-0000-0000-000062320000}"/>
    <cellStyle name="SAPBEXstdData 6 2 3" xfId="12662" xr:uid="{00000000-0005-0000-0000-000063320000}"/>
    <cellStyle name="SAPBEXstdData 6 3" xfId="12663" xr:uid="{00000000-0005-0000-0000-000064320000}"/>
    <cellStyle name="SAPBEXstdData 6 4" xfId="12664" xr:uid="{00000000-0005-0000-0000-000065320000}"/>
    <cellStyle name="SAPBEXstdData 7" xfId="12665" xr:uid="{00000000-0005-0000-0000-000066320000}"/>
    <cellStyle name="SAPBEXstdData 7 2" xfId="12666" xr:uid="{00000000-0005-0000-0000-000067320000}"/>
    <cellStyle name="SAPBEXstdData 7 2 2" xfId="12667" xr:uid="{00000000-0005-0000-0000-000068320000}"/>
    <cellStyle name="SAPBEXstdData 7 2 3" xfId="12668" xr:uid="{00000000-0005-0000-0000-000069320000}"/>
    <cellStyle name="SAPBEXstdData 7 3" xfId="12669" xr:uid="{00000000-0005-0000-0000-00006A320000}"/>
    <cellStyle name="SAPBEXstdData 7 4" xfId="12670" xr:uid="{00000000-0005-0000-0000-00006B320000}"/>
    <cellStyle name="SAPBEXstdData 8" xfId="12671" xr:uid="{00000000-0005-0000-0000-00006C320000}"/>
    <cellStyle name="SAPBEXstdData 8 2" xfId="12672" xr:uid="{00000000-0005-0000-0000-00006D320000}"/>
    <cellStyle name="SAPBEXstdData 8 2 2" xfId="12673" xr:uid="{00000000-0005-0000-0000-00006E320000}"/>
    <cellStyle name="SAPBEXstdData 8 2 3" xfId="12674" xr:uid="{00000000-0005-0000-0000-00006F320000}"/>
    <cellStyle name="SAPBEXstdData 8 3" xfId="12675" xr:uid="{00000000-0005-0000-0000-000070320000}"/>
    <cellStyle name="SAPBEXstdData 8 4" xfId="12676" xr:uid="{00000000-0005-0000-0000-000071320000}"/>
    <cellStyle name="SAPBEXstdData 9" xfId="12677" xr:uid="{00000000-0005-0000-0000-000072320000}"/>
    <cellStyle name="SAPBEXstdData 9 2" xfId="12678" xr:uid="{00000000-0005-0000-0000-000073320000}"/>
    <cellStyle name="SAPBEXstdData 9 2 2" xfId="12679" xr:uid="{00000000-0005-0000-0000-000074320000}"/>
    <cellStyle name="SAPBEXstdData 9 2 3" xfId="12680" xr:uid="{00000000-0005-0000-0000-000075320000}"/>
    <cellStyle name="SAPBEXstdData 9 3" xfId="12681" xr:uid="{00000000-0005-0000-0000-000076320000}"/>
    <cellStyle name="SAPBEXstdData 9 4" xfId="12682" xr:uid="{00000000-0005-0000-0000-000077320000}"/>
    <cellStyle name="SAPBEXstdDataEmph" xfId="12683" xr:uid="{00000000-0005-0000-0000-000078320000}"/>
    <cellStyle name="SAPBEXstdDataEmph 10" xfId="12684" xr:uid="{00000000-0005-0000-0000-000079320000}"/>
    <cellStyle name="SAPBEXstdDataEmph 10 2" xfId="12685" xr:uid="{00000000-0005-0000-0000-00007A320000}"/>
    <cellStyle name="SAPBEXstdDataEmph 10 2 2" xfId="12686" xr:uid="{00000000-0005-0000-0000-00007B320000}"/>
    <cellStyle name="SAPBEXstdDataEmph 10 2 3" xfId="12687" xr:uid="{00000000-0005-0000-0000-00007C320000}"/>
    <cellStyle name="SAPBEXstdDataEmph 10 3" xfId="12688" xr:uid="{00000000-0005-0000-0000-00007D320000}"/>
    <cellStyle name="SAPBEXstdDataEmph 10 4" xfId="12689" xr:uid="{00000000-0005-0000-0000-00007E320000}"/>
    <cellStyle name="SAPBEXstdDataEmph 11" xfId="12690" xr:uid="{00000000-0005-0000-0000-00007F320000}"/>
    <cellStyle name="SAPBEXstdDataEmph 11 2" xfId="12691" xr:uid="{00000000-0005-0000-0000-000080320000}"/>
    <cellStyle name="SAPBEXstdDataEmph 11 2 2" xfId="12692" xr:uid="{00000000-0005-0000-0000-000081320000}"/>
    <cellStyle name="SAPBEXstdDataEmph 11 2 3" xfId="12693" xr:uid="{00000000-0005-0000-0000-000082320000}"/>
    <cellStyle name="SAPBEXstdDataEmph 11 3" xfId="12694" xr:uid="{00000000-0005-0000-0000-000083320000}"/>
    <cellStyle name="SAPBEXstdDataEmph 11 4" xfId="12695" xr:uid="{00000000-0005-0000-0000-000084320000}"/>
    <cellStyle name="SAPBEXstdDataEmph 12" xfId="12696" xr:uid="{00000000-0005-0000-0000-000085320000}"/>
    <cellStyle name="SAPBEXstdDataEmph 12 2" xfId="12697" xr:uid="{00000000-0005-0000-0000-000086320000}"/>
    <cellStyle name="SAPBEXstdDataEmph 12 2 2" xfId="12698" xr:uid="{00000000-0005-0000-0000-000087320000}"/>
    <cellStyle name="SAPBEXstdDataEmph 12 2 3" xfId="12699" xr:uid="{00000000-0005-0000-0000-000088320000}"/>
    <cellStyle name="SAPBEXstdDataEmph 12 3" xfId="12700" xr:uid="{00000000-0005-0000-0000-000089320000}"/>
    <cellStyle name="SAPBEXstdDataEmph 12 4" xfId="12701" xr:uid="{00000000-0005-0000-0000-00008A320000}"/>
    <cellStyle name="SAPBEXstdDataEmph 13" xfId="12702" xr:uid="{00000000-0005-0000-0000-00008B320000}"/>
    <cellStyle name="SAPBEXstdDataEmph 13 2" xfId="12703" xr:uid="{00000000-0005-0000-0000-00008C320000}"/>
    <cellStyle name="SAPBEXstdDataEmph 13 2 2" xfId="12704" xr:uid="{00000000-0005-0000-0000-00008D320000}"/>
    <cellStyle name="SAPBEXstdDataEmph 13 2 3" xfId="12705" xr:uid="{00000000-0005-0000-0000-00008E320000}"/>
    <cellStyle name="SAPBEXstdDataEmph 13 3" xfId="12706" xr:uid="{00000000-0005-0000-0000-00008F320000}"/>
    <cellStyle name="SAPBEXstdDataEmph 13 4" xfId="12707" xr:uid="{00000000-0005-0000-0000-000090320000}"/>
    <cellStyle name="SAPBEXstdDataEmph 14" xfId="12708" xr:uid="{00000000-0005-0000-0000-000091320000}"/>
    <cellStyle name="SAPBEXstdDataEmph 14 2" xfId="12709" xr:uid="{00000000-0005-0000-0000-000092320000}"/>
    <cellStyle name="SAPBEXstdDataEmph 14 2 2" xfId="12710" xr:uid="{00000000-0005-0000-0000-000093320000}"/>
    <cellStyle name="SAPBEXstdDataEmph 14 2 3" xfId="12711" xr:uid="{00000000-0005-0000-0000-000094320000}"/>
    <cellStyle name="SAPBEXstdDataEmph 14 3" xfId="12712" xr:uid="{00000000-0005-0000-0000-000095320000}"/>
    <cellStyle name="SAPBEXstdDataEmph 14 4" xfId="12713" xr:uid="{00000000-0005-0000-0000-000096320000}"/>
    <cellStyle name="SAPBEXstdDataEmph 15" xfId="12714" xr:uid="{00000000-0005-0000-0000-000097320000}"/>
    <cellStyle name="SAPBEXstdDataEmph 15 2" xfId="12715" xr:uid="{00000000-0005-0000-0000-000098320000}"/>
    <cellStyle name="SAPBEXstdDataEmph 15 2 2" xfId="12716" xr:uid="{00000000-0005-0000-0000-000099320000}"/>
    <cellStyle name="SAPBEXstdDataEmph 15 2 3" xfId="12717" xr:uid="{00000000-0005-0000-0000-00009A320000}"/>
    <cellStyle name="SAPBEXstdDataEmph 15 3" xfId="12718" xr:uid="{00000000-0005-0000-0000-00009B320000}"/>
    <cellStyle name="SAPBEXstdDataEmph 15 4" xfId="12719" xr:uid="{00000000-0005-0000-0000-00009C320000}"/>
    <cellStyle name="SAPBEXstdDataEmph 16" xfId="12720" xr:uid="{00000000-0005-0000-0000-00009D320000}"/>
    <cellStyle name="SAPBEXstdDataEmph 17" xfId="12721" xr:uid="{00000000-0005-0000-0000-00009E320000}"/>
    <cellStyle name="SAPBEXstdDataEmph 18" xfId="12722" xr:uid="{00000000-0005-0000-0000-00009F320000}"/>
    <cellStyle name="SAPBEXstdDataEmph 19" xfId="12723" xr:uid="{00000000-0005-0000-0000-0000A0320000}"/>
    <cellStyle name="SAPBEXstdDataEmph 2" xfId="12724" xr:uid="{00000000-0005-0000-0000-0000A1320000}"/>
    <cellStyle name="SAPBEXstdDataEmph 2 2" xfId="12725" xr:uid="{00000000-0005-0000-0000-0000A2320000}"/>
    <cellStyle name="SAPBEXstdDataEmph 2 2 2" xfId="12726" xr:uid="{00000000-0005-0000-0000-0000A3320000}"/>
    <cellStyle name="SAPBEXstdDataEmph 2 2 3" xfId="12727" xr:uid="{00000000-0005-0000-0000-0000A4320000}"/>
    <cellStyle name="SAPBEXstdDataEmph 2 3" xfId="12728" xr:uid="{00000000-0005-0000-0000-0000A5320000}"/>
    <cellStyle name="SAPBEXstdDataEmph 2 4" xfId="12729" xr:uid="{00000000-0005-0000-0000-0000A6320000}"/>
    <cellStyle name="SAPBEXstdDataEmph 3" xfId="12730" xr:uid="{00000000-0005-0000-0000-0000A7320000}"/>
    <cellStyle name="SAPBEXstdDataEmph 3 2" xfId="12731" xr:uid="{00000000-0005-0000-0000-0000A8320000}"/>
    <cellStyle name="SAPBEXstdDataEmph 3 2 2" xfId="12732" xr:uid="{00000000-0005-0000-0000-0000A9320000}"/>
    <cellStyle name="SAPBEXstdDataEmph 3 2 3" xfId="12733" xr:uid="{00000000-0005-0000-0000-0000AA320000}"/>
    <cellStyle name="SAPBEXstdDataEmph 3 3" xfId="12734" xr:uid="{00000000-0005-0000-0000-0000AB320000}"/>
    <cellStyle name="SAPBEXstdDataEmph 3 4" xfId="12735" xr:uid="{00000000-0005-0000-0000-0000AC320000}"/>
    <cellStyle name="SAPBEXstdDataEmph 4" xfId="12736" xr:uid="{00000000-0005-0000-0000-0000AD320000}"/>
    <cellStyle name="SAPBEXstdDataEmph 4 2" xfId="12737" xr:uid="{00000000-0005-0000-0000-0000AE320000}"/>
    <cellStyle name="SAPBEXstdDataEmph 4 2 2" xfId="12738" xr:uid="{00000000-0005-0000-0000-0000AF320000}"/>
    <cellStyle name="SAPBEXstdDataEmph 4 2 3" xfId="12739" xr:uid="{00000000-0005-0000-0000-0000B0320000}"/>
    <cellStyle name="SAPBEXstdDataEmph 4 3" xfId="12740" xr:uid="{00000000-0005-0000-0000-0000B1320000}"/>
    <cellStyle name="SAPBEXstdDataEmph 4 4" xfId="12741" xr:uid="{00000000-0005-0000-0000-0000B2320000}"/>
    <cellStyle name="SAPBEXstdDataEmph 5" xfId="12742" xr:uid="{00000000-0005-0000-0000-0000B3320000}"/>
    <cellStyle name="SAPBEXstdDataEmph 5 2" xfId="12743" xr:uid="{00000000-0005-0000-0000-0000B4320000}"/>
    <cellStyle name="SAPBEXstdDataEmph 5 2 2" xfId="12744" xr:uid="{00000000-0005-0000-0000-0000B5320000}"/>
    <cellStyle name="SAPBEXstdDataEmph 5 2 3" xfId="12745" xr:uid="{00000000-0005-0000-0000-0000B6320000}"/>
    <cellStyle name="SAPBEXstdDataEmph 5 3" xfId="12746" xr:uid="{00000000-0005-0000-0000-0000B7320000}"/>
    <cellStyle name="SAPBEXstdDataEmph 5 4" xfId="12747" xr:uid="{00000000-0005-0000-0000-0000B8320000}"/>
    <cellStyle name="SAPBEXstdDataEmph 6" xfId="12748" xr:uid="{00000000-0005-0000-0000-0000B9320000}"/>
    <cellStyle name="SAPBEXstdDataEmph 6 2" xfId="12749" xr:uid="{00000000-0005-0000-0000-0000BA320000}"/>
    <cellStyle name="SAPBEXstdDataEmph 6 2 2" xfId="12750" xr:uid="{00000000-0005-0000-0000-0000BB320000}"/>
    <cellStyle name="SAPBEXstdDataEmph 6 2 3" xfId="12751" xr:uid="{00000000-0005-0000-0000-0000BC320000}"/>
    <cellStyle name="SAPBEXstdDataEmph 6 3" xfId="12752" xr:uid="{00000000-0005-0000-0000-0000BD320000}"/>
    <cellStyle name="SAPBEXstdDataEmph 6 4" xfId="12753" xr:uid="{00000000-0005-0000-0000-0000BE320000}"/>
    <cellStyle name="SAPBEXstdDataEmph 7" xfId="12754" xr:uid="{00000000-0005-0000-0000-0000BF320000}"/>
    <cellStyle name="SAPBEXstdDataEmph 7 2" xfId="12755" xr:uid="{00000000-0005-0000-0000-0000C0320000}"/>
    <cellStyle name="SAPBEXstdDataEmph 7 2 2" xfId="12756" xr:uid="{00000000-0005-0000-0000-0000C1320000}"/>
    <cellStyle name="SAPBEXstdDataEmph 7 2 3" xfId="12757" xr:uid="{00000000-0005-0000-0000-0000C2320000}"/>
    <cellStyle name="SAPBEXstdDataEmph 7 3" xfId="12758" xr:uid="{00000000-0005-0000-0000-0000C3320000}"/>
    <cellStyle name="SAPBEXstdDataEmph 7 4" xfId="12759" xr:uid="{00000000-0005-0000-0000-0000C4320000}"/>
    <cellStyle name="SAPBEXstdDataEmph 8" xfId="12760" xr:uid="{00000000-0005-0000-0000-0000C5320000}"/>
    <cellStyle name="SAPBEXstdDataEmph 8 2" xfId="12761" xr:uid="{00000000-0005-0000-0000-0000C6320000}"/>
    <cellStyle name="SAPBEXstdDataEmph 8 2 2" xfId="12762" xr:uid="{00000000-0005-0000-0000-0000C7320000}"/>
    <cellStyle name="SAPBEXstdDataEmph 8 2 3" xfId="12763" xr:uid="{00000000-0005-0000-0000-0000C8320000}"/>
    <cellStyle name="SAPBEXstdDataEmph 8 3" xfId="12764" xr:uid="{00000000-0005-0000-0000-0000C9320000}"/>
    <cellStyle name="SAPBEXstdDataEmph 8 4" xfId="12765" xr:uid="{00000000-0005-0000-0000-0000CA320000}"/>
    <cellStyle name="SAPBEXstdDataEmph 9" xfId="12766" xr:uid="{00000000-0005-0000-0000-0000CB320000}"/>
    <cellStyle name="SAPBEXstdDataEmph 9 2" xfId="12767" xr:uid="{00000000-0005-0000-0000-0000CC320000}"/>
    <cellStyle name="SAPBEXstdDataEmph 9 2 2" xfId="12768" xr:uid="{00000000-0005-0000-0000-0000CD320000}"/>
    <cellStyle name="SAPBEXstdDataEmph 9 2 3" xfId="12769" xr:uid="{00000000-0005-0000-0000-0000CE320000}"/>
    <cellStyle name="SAPBEXstdDataEmph 9 3" xfId="12770" xr:uid="{00000000-0005-0000-0000-0000CF320000}"/>
    <cellStyle name="SAPBEXstdDataEmph 9 4" xfId="12771" xr:uid="{00000000-0005-0000-0000-0000D0320000}"/>
    <cellStyle name="SAPBEXstdItem" xfId="12772" xr:uid="{00000000-0005-0000-0000-0000D1320000}"/>
    <cellStyle name="SAPBEXstdItem 10" xfId="12773" xr:uid="{00000000-0005-0000-0000-0000D2320000}"/>
    <cellStyle name="SAPBEXstdItem 10 2" xfId="12774" xr:uid="{00000000-0005-0000-0000-0000D3320000}"/>
    <cellStyle name="SAPBEXstdItem 10 2 2" xfId="12775" xr:uid="{00000000-0005-0000-0000-0000D4320000}"/>
    <cellStyle name="SAPBEXstdItem 10 2 3" xfId="12776" xr:uid="{00000000-0005-0000-0000-0000D5320000}"/>
    <cellStyle name="SAPBEXstdItem 10 3" xfId="12777" xr:uid="{00000000-0005-0000-0000-0000D6320000}"/>
    <cellStyle name="SAPBEXstdItem 10 4" xfId="12778" xr:uid="{00000000-0005-0000-0000-0000D7320000}"/>
    <cellStyle name="SAPBEXstdItem 11" xfId="12779" xr:uid="{00000000-0005-0000-0000-0000D8320000}"/>
    <cellStyle name="SAPBEXstdItem 11 2" xfId="12780" xr:uid="{00000000-0005-0000-0000-0000D9320000}"/>
    <cellStyle name="SAPBEXstdItem 11 2 2" xfId="12781" xr:uid="{00000000-0005-0000-0000-0000DA320000}"/>
    <cellStyle name="SAPBEXstdItem 11 2 3" xfId="12782" xr:uid="{00000000-0005-0000-0000-0000DB320000}"/>
    <cellStyle name="SAPBEXstdItem 11 3" xfId="12783" xr:uid="{00000000-0005-0000-0000-0000DC320000}"/>
    <cellStyle name="SAPBEXstdItem 11 4" xfId="12784" xr:uid="{00000000-0005-0000-0000-0000DD320000}"/>
    <cellStyle name="SAPBEXstdItem 12" xfId="12785" xr:uid="{00000000-0005-0000-0000-0000DE320000}"/>
    <cellStyle name="SAPBEXstdItem 12 2" xfId="12786" xr:uid="{00000000-0005-0000-0000-0000DF320000}"/>
    <cellStyle name="SAPBEXstdItem 12 2 2" xfId="12787" xr:uid="{00000000-0005-0000-0000-0000E0320000}"/>
    <cellStyle name="SAPBEXstdItem 12 2 3" xfId="12788" xr:uid="{00000000-0005-0000-0000-0000E1320000}"/>
    <cellStyle name="SAPBEXstdItem 12 3" xfId="12789" xr:uid="{00000000-0005-0000-0000-0000E2320000}"/>
    <cellStyle name="SAPBEXstdItem 12 4" xfId="12790" xr:uid="{00000000-0005-0000-0000-0000E3320000}"/>
    <cellStyle name="SAPBEXstdItem 13" xfId="12791" xr:uid="{00000000-0005-0000-0000-0000E4320000}"/>
    <cellStyle name="SAPBEXstdItem 13 2" xfId="12792" xr:uid="{00000000-0005-0000-0000-0000E5320000}"/>
    <cellStyle name="SAPBEXstdItem 13 2 2" xfId="12793" xr:uid="{00000000-0005-0000-0000-0000E6320000}"/>
    <cellStyle name="SAPBEXstdItem 13 2 3" xfId="12794" xr:uid="{00000000-0005-0000-0000-0000E7320000}"/>
    <cellStyle name="SAPBEXstdItem 13 3" xfId="12795" xr:uid="{00000000-0005-0000-0000-0000E8320000}"/>
    <cellStyle name="SAPBEXstdItem 13 4" xfId="12796" xr:uid="{00000000-0005-0000-0000-0000E9320000}"/>
    <cellStyle name="SAPBEXstdItem 14" xfId="12797" xr:uid="{00000000-0005-0000-0000-0000EA320000}"/>
    <cellStyle name="SAPBEXstdItem 14 2" xfId="12798" xr:uid="{00000000-0005-0000-0000-0000EB320000}"/>
    <cellStyle name="SAPBEXstdItem 14 2 2" xfId="12799" xr:uid="{00000000-0005-0000-0000-0000EC320000}"/>
    <cellStyle name="SAPBEXstdItem 14 2 3" xfId="12800" xr:uid="{00000000-0005-0000-0000-0000ED320000}"/>
    <cellStyle name="SAPBEXstdItem 14 3" xfId="12801" xr:uid="{00000000-0005-0000-0000-0000EE320000}"/>
    <cellStyle name="SAPBEXstdItem 14 4" xfId="12802" xr:uid="{00000000-0005-0000-0000-0000EF320000}"/>
    <cellStyle name="SAPBEXstdItem 15" xfId="12803" xr:uid="{00000000-0005-0000-0000-0000F0320000}"/>
    <cellStyle name="SAPBEXstdItem 15 2" xfId="12804" xr:uid="{00000000-0005-0000-0000-0000F1320000}"/>
    <cellStyle name="SAPBEXstdItem 15 2 2" xfId="12805" xr:uid="{00000000-0005-0000-0000-0000F2320000}"/>
    <cellStyle name="SAPBEXstdItem 15 2 3" xfId="12806" xr:uid="{00000000-0005-0000-0000-0000F3320000}"/>
    <cellStyle name="SAPBEXstdItem 15 3" xfId="12807" xr:uid="{00000000-0005-0000-0000-0000F4320000}"/>
    <cellStyle name="SAPBEXstdItem 15 4" xfId="12808" xr:uid="{00000000-0005-0000-0000-0000F5320000}"/>
    <cellStyle name="SAPBEXstdItem 16" xfId="12809" xr:uid="{00000000-0005-0000-0000-0000F6320000}"/>
    <cellStyle name="SAPBEXstdItem 17" xfId="12810" xr:uid="{00000000-0005-0000-0000-0000F7320000}"/>
    <cellStyle name="SAPBEXstdItem 18" xfId="12811" xr:uid="{00000000-0005-0000-0000-0000F8320000}"/>
    <cellStyle name="SAPBEXstdItem 19" xfId="12812" xr:uid="{00000000-0005-0000-0000-0000F9320000}"/>
    <cellStyle name="SAPBEXstdItem 2" xfId="12813" xr:uid="{00000000-0005-0000-0000-0000FA320000}"/>
    <cellStyle name="SAPBEXstdItem 2 2" xfId="12814" xr:uid="{00000000-0005-0000-0000-0000FB320000}"/>
    <cellStyle name="SAPBEXstdItem 2 2 2" xfId="12815" xr:uid="{00000000-0005-0000-0000-0000FC320000}"/>
    <cellStyle name="SAPBEXstdItem 2 2 3" xfId="12816" xr:uid="{00000000-0005-0000-0000-0000FD320000}"/>
    <cellStyle name="SAPBEXstdItem 2 3" xfId="12817" xr:uid="{00000000-0005-0000-0000-0000FE320000}"/>
    <cellStyle name="SAPBEXstdItem 2 4" xfId="12818" xr:uid="{00000000-0005-0000-0000-0000FF320000}"/>
    <cellStyle name="SAPBEXstdItem 3" xfId="12819" xr:uid="{00000000-0005-0000-0000-000000330000}"/>
    <cellStyle name="SAPBEXstdItem 3 2" xfId="12820" xr:uid="{00000000-0005-0000-0000-000001330000}"/>
    <cellStyle name="SAPBEXstdItem 3 2 2" xfId="12821" xr:uid="{00000000-0005-0000-0000-000002330000}"/>
    <cellStyle name="SAPBEXstdItem 3 2 3" xfId="12822" xr:uid="{00000000-0005-0000-0000-000003330000}"/>
    <cellStyle name="SAPBEXstdItem 3 3" xfId="12823" xr:uid="{00000000-0005-0000-0000-000004330000}"/>
    <cellStyle name="SAPBEXstdItem 3 4" xfId="12824" xr:uid="{00000000-0005-0000-0000-000005330000}"/>
    <cellStyle name="SAPBEXstdItem 4" xfId="12825" xr:uid="{00000000-0005-0000-0000-000006330000}"/>
    <cellStyle name="SAPBEXstdItem 4 2" xfId="12826" xr:uid="{00000000-0005-0000-0000-000007330000}"/>
    <cellStyle name="SAPBEXstdItem 4 2 2" xfId="12827" xr:uid="{00000000-0005-0000-0000-000008330000}"/>
    <cellStyle name="SAPBEXstdItem 4 2 3" xfId="12828" xr:uid="{00000000-0005-0000-0000-000009330000}"/>
    <cellStyle name="SAPBEXstdItem 4 3" xfId="12829" xr:uid="{00000000-0005-0000-0000-00000A330000}"/>
    <cellStyle name="SAPBEXstdItem 4 4" xfId="12830" xr:uid="{00000000-0005-0000-0000-00000B330000}"/>
    <cellStyle name="SAPBEXstdItem 5" xfId="12831" xr:uid="{00000000-0005-0000-0000-00000C330000}"/>
    <cellStyle name="SAPBEXstdItem 5 2" xfId="12832" xr:uid="{00000000-0005-0000-0000-00000D330000}"/>
    <cellStyle name="SAPBEXstdItem 5 2 2" xfId="12833" xr:uid="{00000000-0005-0000-0000-00000E330000}"/>
    <cellStyle name="SAPBEXstdItem 5 2 3" xfId="12834" xr:uid="{00000000-0005-0000-0000-00000F330000}"/>
    <cellStyle name="SAPBEXstdItem 5 3" xfId="12835" xr:uid="{00000000-0005-0000-0000-000010330000}"/>
    <cellStyle name="SAPBEXstdItem 5 4" xfId="12836" xr:uid="{00000000-0005-0000-0000-000011330000}"/>
    <cellStyle name="SAPBEXstdItem 6" xfId="12837" xr:uid="{00000000-0005-0000-0000-000012330000}"/>
    <cellStyle name="SAPBEXstdItem 6 2" xfId="12838" xr:uid="{00000000-0005-0000-0000-000013330000}"/>
    <cellStyle name="SAPBEXstdItem 6 2 2" xfId="12839" xr:uid="{00000000-0005-0000-0000-000014330000}"/>
    <cellStyle name="SAPBEXstdItem 6 2 3" xfId="12840" xr:uid="{00000000-0005-0000-0000-000015330000}"/>
    <cellStyle name="SAPBEXstdItem 6 3" xfId="12841" xr:uid="{00000000-0005-0000-0000-000016330000}"/>
    <cellStyle name="SAPBEXstdItem 6 4" xfId="12842" xr:uid="{00000000-0005-0000-0000-000017330000}"/>
    <cellStyle name="SAPBEXstdItem 7" xfId="12843" xr:uid="{00000000-0005-0000-0000-000018330000}"/>
    <cellStyle name="SAPBEXstdItem 7 2" xfId="12844" xr:uid="{00000000-0005-0000-0000-000019330000}"/>
    <cellStyle name="SAPBEXstdItem 7 2 2" xfId="12845" xr:uid="{00000000-0005-0000-0000-00001A330000}"/>
    <cellStyle name="SAPBEXstdItem 7 2 3" xfId="12846" xr:uid="{00000000-0005-0000-0000-00001B330000}"/>
    <cellStyle name="SAPBEXstdItem 7 3" xfId="12847" xr:uid="{00000000-0005-0000-0000-00001C330000}"/>
    <cellStyle name="SAPBEXstdItem 7 4" xfId="12848" xr:uid="{00000000-0005-0000-0000-00001D330000}"/>
    <cellStyle name="SAPBEXstdItem 8" xfId="12849" xr:uid="{00000000-0005-0000-0000-00001E330000}"/>
    <cellStyle name="SAPBEXstdItem 8 2" xfId="12850" xr:uid="{00000000-0005-0000-0000-00001F330000}"/>
    <cellStyle name="SAPBEXstdItem 8 2 2" xfId="12851" xr:uid="{00000000-0005-0000-0000-000020330000}"/>
    <cellStyle name="SAPBEXstdItem 8 2 3" xfId="12852" xr:uid="{00000000-0005-0000-0000-000021330000}"/>
    <cellStyle name="SAPBEXstdItem 8 3" xfId="12853" xr:uid="{00000000-0005-0000-0000-000022330000}"/>
    <cellStyle name="SAPBEXstdItem 8 4" xfId="12854" xr:uid="{00000000-0005-0000-0000-000023330000}"/>
    <cellStyle name="SAPBEXstdItem 9" xfId="12855" xr:uid="{00000000-0005-0000-0000-000024330000}"/>
    <cellStyle name="SAPBEXstdItem 9 2" xfId="12856" xr:uid="{00000000-0005-0000-0000-000025330000}"/>
    <cellStyle name="SAPBEXstdItem 9 2 2" xfId="12857" xr:uid="{00000000-0005-0000-0000-000026330000}"/>
    <cellStyle name="SAPBEXstdItem 9 2 3" xfId="12858" xr:uid="{00000000-0005-0000-0000-000027330000}"/>
    <cellStyle name="SAPBEXstdItem 9 3" xfId="12859" xr:uid="{00000000-0005-0000-0000-000028330000}"/>
    <cellStyle name="SAPBEXstdItem 9 4" xfId="12860" xr:uid="{00000000-0005-0000-0000-000029330000}"/>
    <cellStyle name="SAPBEXstdItemX" xfId="12861" xr:uid="{00000000-0005-0000-0000-00002A330000}"/>
    <cellStyle name="SAPBEXstdItemX 10" xfId="12862" xr:uid="{00000000-0005-0000-0000-00002B330000}"/>
    <cellStyle name="SAPBEXstdItemX 10 2" xfId="12863" xr:uid="{00000000-0005-0000-0000-00002C330000}"/>
    <cellStyle name="SAPBEXstdItemX 10 2 2" xfId="12864" xr:uid="{00000000-0005-0000-0000-00002D330000}"/>
    <cellStyle name="SAPBEXstdItemX 10 2 3" xfId="12865" xr:uid="{00000000-0005-0000-0000-00002E330000}"/>
    <cellStyle name="SAPBEXstdItemX 10 3" xfId="12866" xr:uid="{00000000-0005-0000-0000-00002F330000}"/>
    <cellStyle name="SAPBEXstdItemX 10 4" xfId="12867" xr:uid="{00000000-0005-0000-0000-000030330000}"/>
    <cellStyle name="SAPBEXstdItemX 11" xfId="12868" xr:uid="{00000000-0005-0000-0000-000031330000}"/>
    <cellStyle name="SAPBEXstdItemX 11 2" xfId="12869" xr:uid="{00000000-0005-0000-0000-000032330000}"/>
    <cellStyle name="SAPBEXstdItemX 11 2 2" xfId="12870" xr:uid="{00000000-0005-0000-0000-000033330000}"/>
    <cellStyle name="SAPBEXstdItemX 11 2 3" xfId="12871" xr:uid="{00000000-0005-0000-0000-000034330000}"/>
    <cellStyle name="SAPBEXstdItemX 11 3" xfId="12872" xr:uid="{00000000-0005-0000-0000-000035330000}"/>
    <cellStyle name="SAPBEXstdItemX 11 4" xfId="12873" xr:uid="{00000000-0005-0000-0000-000036330000}"/>
    <cellStyle name="SAPBEXstdItemX 12" xfId="12874" xr:uid="{00000000-0005-0000-0000-000037330000}"/>
    <cellStyle name="SAPBEXstdItemX 12 2" xfId="12875" xr:uid="{00000000-0005-0000-0000-000038330000}"/>
    <cellStyle name="SAPBEXstdItemX 12 2 2" xfId="12876" xr:uid="{00000000-0005-0000-0000-000039330000}"/>
    <cellStyle name="SAPBEXstdItemX 12 2 3" xfId="12877" xr:uid="{00000000-0005-0000-0000-00003A330000}"/>
    <cellStyle name="SAPBEXstdItemX 12 3" xfId="12878" xr:uid="{00000000-0005-0000-0000-00003B330000}"/>
    <cellStyle name="SAPBEXstdItemX 12 4" xfId="12879" xr:uid="{00000000-0005-0000-0000-00003C330000}"/>
    <cellStyle name="SAPBEXstdItemX 13" xfId="12880" xr:uid="{00000000-0005-0000-0000-00003D330000}"/>
    <cellStyle name="SAPBEXstdItemX 13 2" xfId="12881" xr:uid="{00000000-0005-0000-0000-00003E330000}"/>
    <cellStyle name="SAPBEXstdItemX 13 2 2" xfId="12882" xr:uid="{00000000-0005-0000-0000-00003F330000}"/>
    <cellStyle name="SAPBEXstdItemX 13 2 3" xfId="12883" xr:uid="{00000000-0005-0000-0000-000040330000}"/>
    <cellStyle name="SAPBEXstdItemX 13 3" xfId="12884" xr:uid="{00000000-0005-0000-0000-000041330000}"/>
    <cellStyle name="SAPBEXstdItemX 13 4" xfId="12885" xr:uid="{00000000-0005-0000-0000-000042330000}"/>
    <cellStyle name="SAPBEXstdItemX 14" xfId="12886" xr:uid="{00000000-0005-0000-0000-000043330000}"/>
    <cellStyle name="SAPBEXstdItemX 14 2" xfId="12887" xr:uid="{00000000-0005-0000-0000-000044330000}"/>
    <cellStyle name="SAPBEXstdItemX 14 2 2" xfId="12888" xr:uid="{00000000-0005-0000-0000-000045330000}"/>
    <cellStyle name="SAPBEXstdItemX 14 2 3" xfId="12889" xr:uid="{00000000-0005-0000-0000-000046330000}"/>
    <cellStyle name="SAPBEXstdItemX 14 3" xfId="12890" xr:uid="{00000000-0005-0000-0000-000047330000}"/>
    <cellStyle name="SAPBEXstdItemX 14 4" xfId="12891" xr:uid="{00000000-0005-0000-0000-000048330000}"/>
    <cellStyle name="SAPBEXstdItemX 15" xfId="12892" xr:uid="{00000000-0005-0000-0000-000049330000}"/>
    <cellStyle name="SAPBEXstdItemX 15 2" xfId="12893" xr:uid="{00000000-0005-0000-0000-00004A330000}"/>
    <cellStyle name="SAPBEXstdItemX 15 2 2" xfId="12894" xr:uid="{00000000-0005-0000-0000-00004B330000}"/>
    <cellStyle name="SAPBEXstdItemX 15 2 3" xfId="12895" xr:uid="{00000000-0005-0000-0000-00004C330000}"/>
    <cellStyle name="SAPBEXstdItemX 15 3" xfId="12896" xr:uid="{00000000-0005-0000-0000-00004D330000}"/>
    <cellStyle name="SAPBEXstdItemX 15 4" xfId="12897" xr:uid="{00000000-0005-0000-0000-00004E330000}"/>
    <cellStyle name="SAPBEXstdItemX 16" xfId="12898" xr:uid="{00000000-0005-0000-0000-00004F330000}"/>
    <cellStyle name="SAPBEXstdItemX 17" xfId="12899" xr:uid="{00000000-0005-0000-0000-000050330000}"/>
    <cellStyle name="SAPBEXstdItemX 18" xfId="12900" xr:uid="{00000000-0005-0000-0000-000051330000}"/>
    <cellStyle name="SAPBEXstdItemX 19" xfId="12901" xr:uid="{00000000-0005-0000-0000-000052330000}"/>
    <cellStyle name="SAPBEXstdItemX 2" xfId="12902" xr:uid="{00000000-0005-0000-0000-000053330000}"/>
    <cellStyle name="SAPBEXstdItemX 2 2" xfId="12903" xr:uid="{00000000-0005-0000-0000-000054330000}"/>
    <cellStyle name="SAPBEXstdItemX 2 2 2" xfId="12904" xr:uid="{00000000-0005-0000-0000-000055330000}"/>
    <cellStyle name="SAPBEXstdItemX 2 2 3" xfId="12905" xr:uid="{00000000-0005-0000-0000-000056330000}"/>
    <cellStyle name="SAPBEXstdItemX 2 3" xfId="12906" xr:uid="{00000000-0005-0000-0000-000057330000}"/>
    <cellStyle name="SAPBEXstdItemX 2 4" xfId="12907" xr:uid="{00000000-0005-0000-0000-000058330000}"/>
    <cellStyle name="SAPBEXstdItemX 3" xfId="12908" xr:uid="{00000000-0005-0000-0000-000059330000}"/>
    <cellStyle name="SAPBEXstdItemX 3 2" xfId="12909" xr:uid="{00000000-0005-0000-0000-00005A330000}"/>
    <cellStyle name="SAPBEXstdItemX 3 2 2" xfId="12910" xr:uid="{00000000-0005-0000-0000-00005B330000}"/>
    <cellStyle name="SAPBEXstdItemX 3 2 3" xfId="12911" xr:uid="{00000000-0005-0000-0000-00005C330000}"/>
    <cellStyle name="SAPBEXstdItemX 3 3" xfId="12912" xr:uid="{00000000-0005-0000-0000-00005D330000}"/>
    <cellStyle name="SAPBEXstdItemX 3 4" xfId="12913" xr:uid="{00000000-0005-0000-0000-00005E330000}"/>
    <cellStyle name="SAPBEXstdItemX 4" xfId="12914" xr:uid="{00000000-0005-0000-0000-00005F330000}"/>
    <cellStyle name="SAPBEXstdItemX 4 2" xfId="12915" xr:uid="{00000000-0005-0000-0000-000060330000}"/>
    <cellStyle name="SAPBEXstdItemX 4 2 2" xfId="12916" xr:uid="{00000000-0005-0000-0000-000061330000}"/>
    <cellStyle name="SAPBEXstdItemX 4 2 3" xfId="12917" xr:uid="{00000000-0005-0000-0000-000062330000}"/>
    <cellStyle name="SAPBEXstdItemX 4 3" xfId="12918" xr:uid="{00000000-0005-0000-0000-000063330000}"/>
    <cellStyle name="SAPBEXstdItemX 4 4" xfId="12919" xr:uid="{00000000-0005-0000-0000-000064330000}"/>
    <cellStyle name="SAPBEXstdItemX 5" xfId="12920" xr:uid="{00000000-0005-0000-0000-000065330000}"/>
    <cellStyle name="SAPBEXstdItemX 5 2" xfId="12921" xr:uid="{00000000-0005-0000-0000-000066330000}"/>
    <cellStyle name="SAPBEXstdItemX 5 2 2" xfId="12922" xr:uid="{00000000-0005-0000-0000-000067330000}"/>
    <cellStyle name="SAPBEXstdItemX 5 2 3" xfId="12923" xr:uid="{00000000-0005-0000-0000-000068330000}"/>
    <cellStyle name="SAPBEXstdItemX 5 3" xfId="12924" xr:uid="{00000000-0005-0000-0000-000069330000}"/>
    <cellStyle name="SAPBEXstdItemX 5 4" xfId="12925" xr:uid="{00000000-0005-0000-0000-00006A330000}"/>
    <cellStyle name="SAPBEXstdItemX 6" xfId="12926" xr:uid="{00000000-0005-0000-0000-00006B330000}"/>
    <cellStyle name="SAPBEXstdItemX 6 2" xfId="12927" xr:uid="{00000000-0005-0000-0000-00006C330000}"/>
    <cellStyle name="SAPBEXstdItemX 6 2 2" xfId="12928" xr:uid="{00000000-0005-0000-0000-00006D330000}"/>
    <cellStyle name="SAPBEXstdItemX 6 2 3" xfId="12929" xr:uid="{00000000-0005-0000-0000-00006E330000}"/>
    <cellStyle name="SAPBEXstdItemX 6 3" xfId="12930" xr:uid="{00000000-0005-0000-0000-00006F330000}"/>
    <cellStyle name="SAPBEXstdItemX 6 4" xfId="12931" xr:uid="{00000000-0005-0000-0000-000070330000}"/>
    <cellStyle name="SAPBEXstdItemX 7" xfId="12932" xr:uid="{00000000-0005-0000-0000-000071330000}"/>
    <cellStyle name="SAPBEXstdItemX 7 2" xfId="12933" xr:uid="{00000000-0005-0000-0000-000072330000}"/>
    <cellStyle name="SAPBEXstdItemX 7 2 2" xfId="12934" xr:uid="{00000000-0005-0000-0000-000073330000}"/>
    <cellStyle name="SAPBEXstdItemX 7 2 3" xfId="12935" xr:uid="{00000000-0005-0000-0000-000074330000}"/>
    <cellStyle name="SAPBEXstdItemX 7 3" xfId="12936" xr:uid="{00000000-0005-0000-0000-000075330000}"/>
    <cellStyle name="SAPBEXstdItemX 7 4" xfId="12937" xr:uid="{00000000-0005-0000-0000-000076330000}"/>
    <cellStyle name="SAPBEXstdItemX 8" xfId="12938" xr:uid="{00000000-0005-0000-0000-000077330000}"/>
    <cellStyle name="SAPBEXstdItemX 8 2" xfId="12939" xr:uid="{00000000-0005-0000-0000-000078330000}"/>
    <cellStyle name="SAPBEXstdItemX 8 2 2" xfId="12940" xr:uid="{00000000-0005-0000-0000-000079330000}"/>
    <cellStyle name="SAPBEXstdItemX 8 2 3" xfId="12941" xr:uid="{00000000-0005-0000-0000-00007A330000}"/>
    <cellStyle name="SAPBEXstdItemX 8 3" xfId="12942" xr:uid="{00000000-0005-0000-0000-00007B330000}"/>
    <cellStyle name="SAPBEXstdItemX 8 4" xfId="12943" xr:uid="{00000000-0005-0000-0000-00007C330000}"/>
    <cellStyle name="SAPBEXstdItemX 9" xfId="12944" xr:uid="{00000000-0005-0000-0000-00007D330000}"/>
    <cellStyle name="SAPBEXstdItemX 9 2" xfId="12945" xr:uid="{00000000-0005-0000-0000-00007E330000}"/>
    <cellStyle name="SAPBEXstdItemX 9 2 2" xfId="12946" xr:uid="{00000000-0005-0000-0000-00007F330000}"/>
    <cellStyle name="SAPBEXstdItemX 9 2 3" xfId="12947" xr:uid="{00000000-0005-0000-0000-000080330000}"/>
    <cellStyle name="SAPBEXstdItemX 9 3" xfId="12948" xr:uid="{00000000-0005-0000-0000-000081330000}"/>
    <cellStyle name="SAPBEXstdItemX 9 4" xfId="12949" xr:uid="{00000000-0005-0000-0000-000082330000}"/>
    <cellStyle name="SAPBEXtitle" xfId="12950" xr:uid="{00000000-0005-0000-0000-000083330000}"/>
    <cellStyle name="SAPBEXundefined" xfId="12951" xr:uid="{00000000-0005-0000-0000-000084330000}"/>
    <cellStyle name="SAPBEXundefined 10" xfId="12952" xr:uid="{00000000-0005-0000-0000-000085330000}"/>
    <cellStyle name="SAPBEXundefined 10 2" xfId="12953" xr:uid="{00000000-0005-0000-0000-000086330000}"/>
    <cellStyle name="SAPBEXundefined 10 2 2" xfId="12954" xr:uid="{00000000-0005-0000-0000-000087330000}"/>
    <cellStyle name="SAPBEXundefined 10 2 3" xfId="12955" xr:uid="{00000000-0005-0000-0000-000088330000}"/>
    <cellStyle name="SAPBEXundefined 10 3" xfId="12956" xr:uid="{00000000-0005-0000-0000-000089330000}"/>
    <cellStyle name="SAPBEXundefined 10 4" xfId="12957" xr:uid="{00000000-0005-0000-0000-00008A330000}"/>
    <cellStyle name="SAPBEXundefined 11" xfId="12958" xr:uid="{00000000-0005-0000-0000-00008B330000}"/>
    <cellStyle name="SAPBEXundefined 11 2" xfId="12959" xr:uid="{00000000-0005-0000-0000-00008C330000}"/>
    <cellStyle name="SAPBEXundefined 11 2 2" xfId="12960" xr:uid="{00000000-0005-0000-0000-00008D330000}"/>
    <cellStyle name="SAPBEXundefined 11 2 3" xfId="12961" xr:uid="{00000000-0005-0000-0000-00008E330000}"/>
    <cellStyle name="SAPBEXundefined 11 3" xfId="12962" xr:uid="{00000000-0005-0000-0000-00008F330000}"/>
    <cellStyle name="SAPBEXundefined 11 4" xfId="12963" xr:uid="{00000000-0005-0000-0000-000090330000}"/>
    <cellStyle name="SAPBEXundefined 12" xfId="12964" xr:uid="{00000000-0005-0000-0000-000091330000}"/>
    <cellStyle name="SAPBEXundefined 12 2" xfId="12965" xr:uid="{00000000-0005-0000-0000-000092330000}"/>
    <cellStyle name="SAPBEXundefined 12 2 2" xfId="12966" xr:uid="{00000000-0005-0000-0000-000093330000}"/>
    <cellStyle name="SAPBEXundefined 12 2 3" xfId="12967" xr:uid="{00000000-0005-0000-0000-000094330000}"/>
    <cellStyle name="SAPBEXundefined 12 3" xfId="12968" xr:uid="{00000000-0005-0000-0000-000095330000}"/>
    <cellStyle name="SAPBEXundefined 12 4" xfId="12969" xr:uid="{00000000-0005-0000-0000-000096330000}"/>
    <cellStyle name="SAPBEXundefined 13" xfId="12970" xr:uid="{00000000-0005-0000-0000-000097330000}"/>
    <cellStyle name="SAPBEXundefined 13 2" xfId="12971" xr:uid="{00000000-0005-0000-0000-000098330000}"/>
    <cellStyle name="SAPBEXundefined 13 2 2" xfId="12972" xr:uid="{00000000-0005-0000-0000-000099330000}"/>
    <cellStyle name="SAPBEXundefined 13 2 3" xfId="12973" xr:uid="{00000000-0005-0000-0000-00009A330000}"/>
    <cellStyle name="SAPBEXundefined 13 3" xfId="12974" xr:uid="{00000000-0005-0000-0000-00009B330000}"/>
    <cellStyle name="SAPBEXundefined 13 4" xfId="12975" xr:uid="{00000000-0005-0000-0000-00009C330000}"/>
    <cellStyle name="SAPBEXundefined 14" xfId="12976" xr:uid="{00000000-0005-0000-0000-00009D330000}"/>
    <cellStyle name="SAPBEXundefined 14 2" xfId="12977" xr:uid="{00000000-0005-0000-0000-00009E330000}"/>
    <cellStyle name="SAPBEXundefined 14 2 2" xfId="12978" xr:uid="{00000000-0005-0000-0000-00009F330000}"/>
    <cellStyle name="SAPBEXundefined 14 2 3" xfId="12979" xr:uid="{00000000-0005-0000-0000-0000A0330000}"/>
    <cellStyle name="SAPBEXundefined 14 3" xfId="12980" xr:uid="{00000000-0005-0000-0000-0000A1330000}"/>
    <cellStyle name="SAPBEXundefined 14 4" xfId="12981" xr:uid="{00000000-0005-0000-0000-0000A2330000}"/>
    <cellStyle name="SAPBEXundefined 15" xfId="12982" xr:uid="{00000000-0005-0000-0000-0000A3330000}"/>
    <cellStyle name="SAPBEXundefined 15 2" xfId="12983" xr:uid="{00000000-0005-0000-0000-0000A4330000}"/>
    <cellStyle name="SAPBEXundefined 15 2 2" xfId="12984" xr:uid="{00000000-0005-0000-0000-0000A5330000}"/>
    <cellStyle name="SAPBEXundefined 15 2 3" xfId="12985" xr:uid="{00000000-0005-0000-0000-0000A6330000}"/>
    <cellStyle name="SAPBEXundefined 15 3" xfId="12986" xr:uid="{00000000-0005-0000-0000-0000A7330000}"/>
    <cellStyle name="SAPBEXundefined 15 4" xfId="12987" xr:uid="{00000000-0005-0000-0000-0000A8330000}"/>
    <cellStyle name="SAPBEXundefined 16" xfId="12988" xr:uid="{00000000-0005-0000-0000-0000A9330000}"/>
    <cellStyle name="SAPBEXundefined 17" xfId="12989" xr:uid="{00000000-0005-0000-0000-0000AA330000}"/>
    <cellStyle name="SAPBEXundefined 18" xfId="12990" xr:uid="{00000000-0005-0000-0000-0000AB330000}"/>
    <cellStyle name="SAPBEXundefined 19" xfId="12991" xr:uid="{00000000-0005-0000-0000-0000AC330000}"/>
    <cellStyle name="SAPBEXundefined 2" xfId="12992" xr:uid="{00000000-0005-0000-0000-0000AD330000}"/>
    <cellStyle name="SAPBEXundefined 2 2" xfId="12993" xr:uid="{00000000-0005-0000-0000-0000AE330000}"/>
    <cellStyle name="SAPBEXundefined 2 2 2" xfId="12994" xr:uid="{00000000-0005-0000-0000-0000AF330000}"/>
    <cellStyle name="SAPBEXundefined 2 2 3" xfId="12995" xr:uid="{00000000-0005-0000-0000-0000B0330000}"/>
    <cellStyle name="SAPBEXundefined 2 3" xfId="12996" xr:uid="{00000000-0005-0000-0000-0000B1330000}"/>
    <cellStyle name="SAPBEXundefined 2 4" xfId="12997" xr:uid="{00000000-0005-0000-0000-0000B2330000}"/>
    <cellStyle name="SAPBEXundefined 3" xfId="12998" xr:uid="{00000000-0005-0000-0000-0000B3330000}"/>
    <cellStyle name="SAPBEXundefined 3 2" xfId="12999" xr:uid="{00000000-0005-0000-0000-0000B4330000}"/>
    <cellStyle name="SAPBEXundefined 3 2 2" xfId="13000" xr:uid="{00000000-0005-0000-0000-0000B5330000}"/>
    <cellStyle name="SAPBEXundefined 3 2 3" xfId="13001" xr:uid="{00000000-0005-0000-0000-0000B6330000}"/>
    <cellStyle name="SAPBEXundefined 3 3" xfId="13002" xr:uid="{00000000-0005-0000-0000-0000B7330000}"/>
    <cellStyle name="SAPBEXundefined 3 4" xfId="13003" xr:uid="{00000000-0005-0000-0000-0000B8330000}"/>
    <cellStyle name="SAPBEXundefined 4" xfId="13004" xr:uid="{00000000-0005-0000-0000-0000B9330000}"/>
    <cellStyle name="SAPBEXundefined 4 2" xfId="13005" xr:uid="{00000000-0005-0000-0000-0000BA330000}"/>
    <cellStyle name="SAPBEXundefined 4 2 2" xfId="13006" xr:uid="{00000000-0005-0000-0000-0000BB330000}"/>
    <cellStyle name="SAPBEXundefined 4 2 3" xfId="13007" xr:uid="{00000000-0005-0000-0000-0000BC330000}"/>
    <cellStyle name="SAPBEXundefined 4 3" xfId="13008" xr:uid="{00000000-0005-0000-0000-0000BD330000}"/>
    <cellStyle name="SAPBEXundefined 4 4" xfId="13009" xr:uid="{00000000-0005-0000-0000-0000BE330000}"/>
    <cellStyle name="SAPBEXundefined 5" xfId="13010" xr:uid="{00000000-0005-0000-0000-0000BF330000}"/>
    <cellStyle name="SAPBEXundefined 5 2" xfId="13011" xr:uid="{00000000-0005-0000-0000-0000C0330000}"/>
    <cellStyle name="SAPBEXundefined 5 2 2" xfId="13012" xr:uid="{00000000-0005-0000-0000-0000C1330000}"/>
    <cellStyle name="SAPBEXundefined 5 2 3" xfId="13013" xr:uid="{00000000-0005-0000-0000-0000C2330000}"/>
    <cellStyle name="SAPBEXundefined 5 3" xfId="13014" xr:uid="{00000000-0005-0000-0000-0000C3330000}"/>
    <cellStyle name="SAPBEXundefined 5 4" xfId="13015" xr:uid="{00000000-0005-0000-0000-0000C4330000}"/>
    <cellStyle name="SAPBEXundefined 6" xfId="13016" xr:uid="{00000000-0005-0000-0000-0000C5330000}"/>
    <cellStyle name="SAPBEXundefined 6 2" xfId="13017" xr:uid="{00000000-0005-0000-0000-0000C6330000}"/>
    <cellStyle name="SAPBEXundefined 6 2 2" xfId="13018" xr:uid="{00000000-0005-0000-0000-0000C7330000}"/>
    <cellStyle name="SAPBEXundefined 6 2 3" xfId="13019" xr:uid="{00000000-0005-0000-0000-0000C8330000}"/>
    <cellStyle name="SAPBEXundefined 6 3" xfId="13020" xr:uid="{00000000-0005-0000-0000-0000C9330000}"/>
    <cellStyle name="SAPBEXundefined 6 4" xfId="13021" xr:uid="{00000000-0005-0000-0000-0000CA330000}"/>
    <cellStyle name="SAPBEXundefined 7" xfId="13022" xr:uid="{00000000-0005-0000-0000-0000CB330000}"/>
    <cellStyle name="SAPBEXundefined 7 2" xfId="13023" xr:uid="{00000000-0005-0000-0000-0000CC330000}"/>
    <cellStyle name="SAPBEXundefined 7 2 2" xfId="13024" xr:uid="{00000000-0005-0000-0000-0000CD330000}"/>
    <cellStyle name="SAPBEXundefined 7 2 3" xfId="13025" xr:uid="{00000000-0005-0000-0000-0000CE330000}"/>
    <cellStyle name="SAPBEXundefined 7 3" xfId="13026" xr:uid="{00000000-0005-0000-0000-0000CF330000}"/>
    <cellStyle name="SAPBEXundefined 7 4" xfId="13027" xr:uid="{00000000-0005-0000-0000-0000D0330000}"/>
    <cellStyle name="SAPBEXundefined 8" xfId="13028" xr:uid="{00000000-0005-0000-0000-0000D1330000}"/>
    <cellStyle name="SAPBEXundefined 8 2" xfId="13029" xr:uid="{00000000-0005-0000-0000-0000D2330000}"/>
    <cellStyle name="SAPBEXundefined 8 2 2" xfId="13030" xr:uid="{00000000-0005-0000-0000-0000D3330000}"/>
    <cellStyle name="SAPBEXundefined 8 2 3" xfId="13031" xr:uid="{00000000-0005-0000-0000-0000D4330000}"/>
    <cellStyle name="SAPBEXundefined 8 3" xfId="13032" xr:uid="{00000000-0005-0000-0000-0000D5330000}"/>
    <cellStyle name="SAPBEXundefined 8 4" xfId="13033" xr:uid="{00000000-0005-0000-0000-0000D6330000}"/>
    <cellStyle name="SAPBEXundefined 9" xfId="13034" xr:uid="{00000000-0005-0000-0000-0000D7330000}"/>
    <cellStyle name="SAPBEXundefined 9 2" xfId="13035" xr:uid="{00000000-0005-0000-0000-0000D8330000}"/>
    <cellStyle name="SAPBEXundefined 9 2 2" xfId="13036" xr:uid="{00000000-0005-0000-0000-0000D9330000}"/>
    <cellStyle name="SAPBEXundefined 9 2 3" xfId="13037" xr:uid="{00000000-0005-0000-0000-0000DA330000}"/>
    <cellStyle name="SAPBEXundefined 9 3" xfId="13038" xr:uid="{00000000-0005-0000-0000-0000DB330000}"/>
    <cellStyle name="SAPBEXundefined 9 4" xfId="13039" xr:uid="{00000000-0005-0000-0000-0000DC330000}"/>
    <cellStyle name="Satisfaisant 2" xfId="13040" xr:uid="{00000000-0005-0000-0000-0000DD330000}"/>
    <cellStyle name="Satisfaisant 2 2" xfId="13041" xr:uid="{00000000-0005-0000-0000-0000DE330000}"/>
    <cellStyle name="Satisfaisant 3" xfId="13042" xr:uid="{00000000-0005-0000-0000-0000DF330000}"/>
    <cellStyle name="Satisfaisant 4" xfId="13043" xr:uid="{00000000-0005-0000-0000-0000E0330000}"/>
    <cellStyle name="Satisfaisant 4 2" xfId="13044" xr:uid="{00000000-0005-0000-0000-0000E1330000}"/>
    <cellStyle name="Satisfaisant 5" xfId="13045" xr:uid="{00000000-0005-0000-0000-0000E2330000}"/>
    <cellStyle name="Schlecht" xfId="13046" xr:uid="{00000000-0005-0000-0000-0000E3330000}"/>
    <cellStyle name="Section" xfId="13047" xr:uid="{00000000-0005-0000-0000-0000E4330000}"/>
    <cellStyle name="Selgitav tekst" xfId="13048" xr:uid="{00000000-0005-0000-0000-0000E5330000}"/>
    <cellStyle name="Selgitav tekst 2" xfId="13049" xr:uid="{00000000-0005-0000-0000-0000E6330000}"/>
    <cellStyle name="Selgitav tekst 3" xfId="13050" xr:uid="{00000000-0005-0000-0000-0000E7330000}"/>
    <cellStyle name="Selittävä teksti" xfId="13051" xr:uid="{00000000-0005-0000-0000-0000E8330000}"/>
    <cellStyle name="semiformat" xfId="13052" xr:uid="{00000000-0005-0000-0000-0000E9330000}"/>
    <cellStyle name="Semleges 2" xfId="13053" xr:uid="{00000000-0005-0000-0000-0000EA330000}"/>
    <cellStyle name="Shaded" xfId="13054" xr:uid="{00000000-0005-0000-0000-0000EB330000}"/>
    <cellStyle name="Sheet Done" xfId="13055" xr:uid="{00000000-0005-0000-0000-0000EC330000}"/>
    <cellStyle name="Short_date" xfId="13056" xr:uid="{00000000-0005-0000-0000-0000ED330000}"/>
    <cellStyle name="Sisestus" xfId="13057" xr:uid="{00000000-0005-0000-0000-0000EE330000}"/>
    <cellStyle name="Sisestus 10" xfId="13058" xr:uid="{00000000-0005-0000-0000-0000EF330000}"/>
    <cellStyle name="Sisestus 10 2" xfId="13059" xr:uid="{00000000-0005-0000-0000-0000F0330000}"/>
    <cellStyle name="Sisestus 10 2 2" xfId="13060" xr:uid="{00000000-0005-0000-0000-0000F1330000}"/>
    <cellStyle name="Sisestus 10 2 3" xfId="13061" xr:uid="{00000000-0005-0000-0000-0000F2330000}"/>
    <cellStyle name="Sisestus 10 3" xfId="13062" xr:uid="{00000000-0005-0000-0000-0000F3330000}"/>
    <cellStyle name="Sisestus 10 4" xfId="13063" xr:uid="{00000000-0005-0000-0000-0000F4330000}"/>
    <cellStyle name="Sisestus 11" xfId="13064" xr:uid="{00000000-0005-0000-0000-0000F5330000}"/>
    <cellStyle name="Sisestus 11 2" xfId="13065" xr:uid="{00000000-0005-0000-0000-0000F6330000}"/>
    <cellStyle name="Sisestus 11 2 2" xfId="13066" xr:uid="{00000000-0005-0000-0000-0000F7330000}"/>
    <cellStyle name="Sisestus 11 2 3" xfId="13067" xr:uid="{00000000-0005-0000-0000-0000F8330000}"/>
    <cellStyle name="Sisestus 11 3" xfId="13068" xr:uid="{00000000-0005-0000-0000-0000F9330000}"/>
    <cellStyle name="Sisestus 11 4" xfId="13069" xr:uid="{00000000-0005-0000-0000-0000FA330000}"/>
    <cellStyle name="Sisestus 12" xfId="13070" xr:uid="{00000000-0005-0000-0000-0000FB330000}"/>
    <cellStyle name="Sisestus 12 2" xfId="13071" xr:uid="{00000000-0005-0000-0000-0000FC330000}"/>
    <cellStyle name="Sisestus 12 2 2" xfId="13072" xr:uid="{00000000-0005-0000-0000-0000FD330000}"/>
    <cellStyle name="Sisestus 12 2 3" xfId="13073" xr:uid="{00000000-0005-0000-0000-0000FE330000}"/>
    <cellStyle name="Sisestus 12 3" xfId="13074" xr:uid="{00000000-0005-0000-0000-0000FF330000}"/>
    <cellStyle name="Sisestus 12 4" xfId="13075" xr:uid="{00000000-0005-0000-0000-000000340000}"/>
    <cellStyle name="Sisestus 13" xfId="13076" xr:uid="{00000000-0005-0000-0000-000001340000}"/>
    <cellStyle name="Sisestus 13 2" xfId="13077" xr:uid="{00000000-0005-0000-0000-000002340000}"/>
    <cellStyle name="Sisestus 13 2 2" xfId="13078" xr:uid="{00000000-0005-0000-0000-000003340000}"/>
    <cellStyle name="Sisestus 13 2 3" xfId="13079" xr:uid="{00000000-0005-0000-0000-000004340000}"/>
    <cellStyle name="Sisestus 13 3" xfId="13080" xr:uid="{00000000-0005-0000-0000-000005340000}"/>
    <cellStyle name="Sisestus 13 4" xfId="13081" xr:uid="{00000000-0005-0000-0000-000006340000}"/>
    <cellStyle name="Sisestus 14" xfId="13082" xr:uid="{00000000-0005-0000-0000-000007340000}"/>
    <cellStyle name="Sisestus 14 2" xfId="13083" xr:uid="{00000000-0005-0000-0000-000008340000}"/>
    <cellStyle name="Sisestus 14 2 2" xfId="13084" xr:uid="{00000000-0005-0000-0000-000009340000}"/>
    <cellStyle name="Sisestus 14 2 3" xfId="13085" xr:uid="{00000000-0005-0000-0000-00000A340000}"/>
    <cellStyle name="Sisestus 14 3" xfId="13086" xr:uid="{00000000-0005-0000-0000-00000B340000}"/>
    <cellStyle name="Sisestus 14 4" xfId="13087" xr:uid="{00000000-0005-0000-0000-00000C340000}"/>
    <cellStyle name="Sisestus 15" xfId="13088" xr:uid="{00000000-0005-0000-0000-00000D340000}"/>
    <cellStyle name="Sisestus 15 2" xfId="13089" xr:uid="{00000000-0005-0000-0000-00000E340000}"/>
    <cellStyle name="Sisestus 15 2 2" xfId="13090" xr:uid="{00000000-0005-0000-0000-00000F340000}"/>
    <cellStyle name="Sisestus 15 2 3" xfId="13091" xr:uid="{00000000-0005-0000-0000-000010340000}"/>
    <cellStyle name="Sisestus 15 3" xfId="13092" xr:uid="{00000000-0005-0000-0000-000011340000}"/>
    <cellStyle name="Sisestus 15 4" xfId="13093" xr:uid="{00000000-0005-0000-0000-000012340000}"/>
    <cellStyle name="Sisestus 16" xfId="13094" xr:uid="{00000000-0005-0000-0000-000013340000}"/>
    <cellStyle name="Sisestus 16 2" xfId="13095" xr:uid="{00000000-0005-0000-0000-000014340000}"/>
    <cellStyle name="Sisestus 16 2 2" xfId="13096" xr:uid="{00000000-0005-0000-0000-000015340000}"/>
    <cellStyle name="Sisestus 16 2 3" xfId="13097" xr:uid="{00000000-0005-0000-0000-000016340000}"/>
    <cellStyle name="Sisestus 16 3" xfId="13098" xr:uid="{00000000-0005-0000-0000-000017340000}"/>
    <cellStyle name="Sisestus 16 4" xfId="13099" xr:uid="{00000000-0005-0000-0000-000018340000}"/>
    <cellStyle name="Sisestus 17" xfId="13100" xr:uid="{00000000-0005-0000-0000-000019340000}"/>
    <cellStyle name="Sisestus 17 2" xfId="13101" xr:uid="{00000000-0005-0000-0000-00001A340000}"/>
    <cellStyle name="Sisestus 17 2 2" xfId="13102" xr:uid="{00000000-0005-0000-0000-00001B340000}"/>
    <cellStyle name="Sisestus 17 2 3" xfId="13103" xr:uid="{00000000-0005-0000-0000-00001C340000}"/>
    <cellStyle name="Sisestus 17 3" xfId="13104" xr:uid="{00000000-0005-0000-0000-00001D340000}"/>
    <cellStyle name="Sisestus 17 4" xfId="13105" xr:uid="{00000000-0005-0000-0000-00001E340000}"/>
    <cellStyle name="Sisestus 18" xfId="13106" xr:uid="{00000000-0005-0000-0000-00001F340000}"/>
    <cellStyle name="Sisestus 18 2" xfId="13107" xr:uid="{00000000-0005-0000-0000-000020340000}"/>
    <cellStyle name="Sisestus 18 2 2" xfId="13108" xr:uid="{00000000-0005-0000-0000-000021340000}"/>
    <cellStyle name="Sisestus 18 2 3" xfId="13109" xr:uid="{00000000-0005-0000-0000-000022340000}"/>
    <cellStyle name="Sisestus 18 3" xfId="13110" xr:uid="{00000000-0005-0000-0000-000023340000}"/>
    <cellStyle name="Sisestus 18 4" xfId="13111" xr:uid="{00000000-0005-0000-0000-000024340000}"/>
    <cellStyle name="Sisestus 19" xfId="13112" xr:uid="{00000000-0005-0000-0000-000025340000}"/>
    <cellStyle name="Sisestus 19 2" xfId="13113" xr:uid="{00000000-0005-0000-0000-000026340000}"/>
    <cellStyle name="Sisestus 19 3" xfId="13114" xr:uid="{00000000-0005-0000-0000-000027340000}"/>
    <cellStyle name="Sisestus 2" xfId="13115" xr:uid="{00000000-0005-0000-0000-000028340000}"/>
    <cellStyle name="Sisestus 2 2" xfId="13116" xr:uid="{00000000-0005-0000-0000-000029340000}"/>
    <cellStyle name="Sisestus 2 2 2" xfId="13117" xr:uid="{00000000-0005-0000-0000-00002A340000}"/>
    <cellStyle name="Sisestus 2 2 3" xfId="13118" xr:uid="{00000000-0005-0000-0000-00002B340000}"/>
    <cellStyle name="Sisestus 2 3" xfId="13119" xr:uid="{00000000-0005-0000-0000-00002C340000}"/>
    <cellStyle name="Sisestus 2 3 2" xfId="13120" xr:uid="{00000000-0005-0000-0000-00002D340000}"/>
    <cellStyle name="Sisestus 2 3 3" xfId="13121" xr:uid="{00000000-0005-0000-0000-00002E340000}"/>
    <cellStyle name="Sisestus 2 4" xfId="13122" xr:uid="{00000000-0005-0000-0000-00002F340000}"/>
    <cellStyle name="Sisestus 2 5" xfId="13123" xr:uid="{00000000-0005-0000-0000-000030340000}"/>
    <cellStyle name="Sisestus 20" xfId="13124" xr:uid="{00000000-0005-0000-0000-000031340000}"/>
    <cellStyle name="Sisestus 20 2" xfId="13125" xr:uid="{00000000-0005-0000-0000-000032340000}"/>
    <cellStyle name="Sisestus 20 3" xfId="13126" xr:uid="{00000000-0005-0000-0000-000033340000}"/>
    <cellStyle name="Sisestus 21" xfId="13127" xr:uid="{00000000-0005-0000-0000-000034340000}"/>
    <cellStyle name="Sisestus 22" xfId="13128" xr:uid="{00000000-0005-0000-0000-000035340000}"/>
    <cellStyle name="Sisestus 23" xfId="13129" xr:uid="{00000000-0005-0000-0000-000036340000}"/>
    <cellStyle name="Sisestus 24" xfId="13130" xr:uid="{00000000-0005-0000-0000-000037340000}"/>
    <cellStyle name="Sisestus 3" xfId="13131" xr:uid="{00000000-0005-0000-0000-000038340000}"/>
    <cellStyle name="Sisestus 3 2" xfId="13132" xr:uid="{00000000-0005-0000-0000-000039340000}"/>
    <cellStyle name="Sisestus 3 2 2" xfId="13133" xr:uid="{00000000-0005-0000-0000-00003A340000}"/>
    <cellStyle name="Sisestus 3 2 3" xfId="13134" xr:uid="{00000000-0005-0000-0000-00003B340000}"/>
    <cellStyle name="Sisestus 3 3" xfId="13135" xr:uid="{00000000-0005-0000-0000-00003C340000}"/>
    <cellStyle name="Sisestus 3 4" xfId="13136" xr:uid="{00000000-0005-0000-0000-00003D340000}"/>
    <cellStyle name="Sisestus 4" xfId="13137" xr:uid="{00000000-0005-0000-0000-00003E340000}"/>
    <cellStyle name="Sisestus 4 2" xfId="13138" xr:uid="{00000000-0005-0000-0000-00003F340000}"/>
    <cellStyle name="Sisestus 4 2 2" xfId="13139" xr:uid="{00000000-0005-0000-0000-000040340000}"/>
    <cellStyle name="Sisestus 4 2 3" xfId="13140" xr:uid="{00000000-0005-0000-0000-000041340000}"/>
    <cellStyle name="Sisestus 4 3" xfId="13141" xr:uid="{00000000-0005-0000-0000-000042340000}"/>
    <cellStyle name="Sisestus 4 4" xfId="13142" xr:uid="{00000000-0005-0000-0000-000043340000}"/>
    <cellStyle name="Sisestus 5" xfId="13143" xr:uid="{00000000-0005-0000-0000-000044340000}"/>
    <cellStyle name="Sisestus 5 2" xfId="13144" xr:uid="{00000000-0005-0000-0000-000045340000}"/>
    <cellStyle name="Sisestus 5 2 2" xfId="13145" xr:uid="{00000000-0005-0000-0000-000046340000}"/>
    <cellStyle name="Sisestus 5 2 3" xfId="13146" xr:uid="{00000000-0005-0000-0000-000047340000}"/>
    <cellStyle name="Sisestus 5 3" xfId="13147" xr:uid="{00000000-0005-0000-0000-000048340000}"/>
    <cellStyle name="Sisestus 5 4" xfId="13148" xr:uid="{00000000-0005-0000-0000-000049340000}"/>
    <cellStyle name="Sisestus 6" xfId="13149" xr:uid="{00000000-0005-0000-0000-00004A340000}"/>
    <cellStyle name="Sisestus 6 2" xfId="13150" xr:uid="{00000000-0005-0000-0000-00004B340000}"/>
    <cellStyle name="Sisestus 6 2 2" xfId="13151" xr:uid="{00000000-0005-0000-0000-00004C340000}"/>
    <cellStyle name="Sisestus 6 2 3" xfId="13152" xr:uid="{00000000-0005-0000-0000-00004D340000}"/>
    <cellStyle name="Sisestus 6 3" xfId="13153" xr:uid="{00000000-0005-0000-0000-00004E340000}"/>
    <cellStyle name="Sisestus 6 4" xfId="13154" xr:uid="{00000000-0005-0000-0000-00004F340000}"/>
    <cellStyle name="Sisestus 7" xfId="13155" xr:uid="{00000000-0005-0000-0000-000050340000}"/>
    <cellStyle name="Sisestus 7 2" xfId="13156" xr:uid="{00000000-0005-0000-0000-000051340000}"/>
    <cellStyle name="Sisestus 7 2 2" xfId="13157" xr:uid="{00000000-0005-0000-0000-000052340000}"/>
    <cellStyle name="Sisestus 7 2 3" xfId="13158" xr:uid="{00000000-0005-0000-0000-000053340000}"/>
    <cellStyle name="Sisestus 7 3" xfId="13159" xr:uid="{00000000-0005-0000-0000-000054340000}"/>
    <cellStyle name="Sisestus 7 4" xfId="13160" xr:uid="{00000000-0005-0000-0000-000055340000}"/>
    <cellStyle name="Sisestus 8" xfId="13161" xr:uid="{00000000-0005-0000-0000-000056340000}"/>
    <cellStyle name="Sisestus 8 2" xfId="13162" xr:uid="{00000000-0005-0000-0000-000057340000}"/>
    <cellStyle name="Sisestus 8 2 2" xfId="13163" xr:uid="{00000000-0005-0000-0000-000058340000}"/>
    <cellStyle name="Sisestus 8 2 3" xfId="13164" xr:uid="{00000000-0005-0000-0000-000059340000}"/>
    <cellStyle name="Sisestus 8 3" xfId="13165" xr:uid="{00000000-0005-0000-0000-00005A340000}"/>
    <cellStyle name="Sisestus 8 4" xfId="13166" xr:uid="{00000000-0005-0000-0000-00005B340000}"/>
    <cellStyle name="Sisestus 9" xfId="13167" xr:uid="{00000000-0005-0000-0000-00005C340000}"/>
    <cellStyle name="Sisestus 9 2" xfId="13168" xr:uid="{00000000-0005-0000-0000-00005D340000}"/>
    <cellStyle name="Sisestus 9 2 2" xfId="13169" xr:uid="{00000000-0005-0000-0000-00005E340000}"/>
    <cellStyle name="Sisestus 9 2 3" xfId="13170" xr:uid="{00000000-0005-0000-0000-00005F340000}"/>
    <cellStyle name="Sisestus 9 3" xfId="13171" xr:uid="{00000000-0005-0000-0000-000060340000}"/>
    <cellStyle name="Sisestus 9 4" xfId="13172" xr:uid="{00000000-0005-0000-0000-000061340000}"/>
    <cellStyle name="Skaičiavimas" xfId="13173" xr:uid="{00000000-0005-0000-0000-000062340000}"/>
    <cellStyle name="Skaičiavimas 10" xfId="13174" xr:uid="{00000000-0005-0000-0000-000063340000}"/>
    <cellStyle name="Skaičiavimas 10 2" xfId="13175" xr:uid="{00000000-0005-0000-0000-000064340000}"/>
    <cellStyle name="Skaičiavimas 10 2 2" xfId="13176" xr:uid="{00000000-0005-0000-0000-000065340000}"/>
    <cellStyle name="Skaičiavimas 10 2 3" xfId="13177" xr:uid="{00000000-0005-0000-0000-000066340000}"/>
    <cellStyle name="Skaičiavimas 10 3" xfId="13178" xr:uid="{00000000-0005-0000-0000-000067340000}"/>
    <cellStyle name="Skaičiavimas 10 4" xfId="13179" xr:uid="{00000000-0005-0000-0000-000068340000}"/>
    <cellStyle name="Skaičiavimas 11" xfId="13180" xr:uid="{00000000-0005-0000-0000-000069340000}"/>
    <cellStyle name="Skaičiavimas 11 2" xfId="13181" xr:uid="{00000000-0005-0000-0000-00006A340000}"/>
    <cellStyle name="Skaičiavimas 11 2 2" xfId="13182" xr:uid="{00000000-0005-0000-0000-00006B340000}"/>
    <cellStyle name="Skaičiavimas 11 2 3" xfId="13183" xr:uid="{00000000-0005-0000-0000-00006C340000}"/>
    <cellStyle name="Skaičiavimas 11 3" xfId="13184" xr:uid="{00000000-0005-0000-0000-00006D340000}"/>
    <cellStyle name="Skaičiavimas 11 4" xfId="13185" xr:uid="{00000000-0005-0000-0000-00006E340000}"/>
    <cellStyle name="Skaičiavimas 12" xfId="13186" xr:uid="{00000000-0005-0000-0000-00006F340000}"/>
    <cellStyle name="Skaičiavimas 12 2" xfId="13187" xr:uid="{00000000-0005-0000-0000-000070340000}"/>
    <cellStyle name="Skaičiavimas 12 2 2" xfId="13188" xr:uid="{00000000-0005-0000-0000-000071340000}"/>
    <cellStyle name="Skaičiavimas 12 2 3" xfId="13189" xr:uid="{00000000-0005-0000-0000-000072340000}"/>
    <cellStyle name="Skaičiavimas 12 3" xfId="13190" xr:uid="{00000000-0005-0000-0000-000073340000}"/>
    <cellStyle name="Skaičiavimas 12 4" xfId="13191" xr:uid="{00000000-0005-0000-0000-000074340000}"/>
    <cellStyle name="Skaičiavimas 13" xfId="13192" xr:uid="{00000000-0005-0000-0000-000075340000}"/>
    <cellStyle name="Skaičiavimas 13 2" xfId="13193" xr:uid="{00000000-0005-0000-0000-000076340000}"/>
    <cellStyle name="Skaičiavimas 13 2 2" xfId="13194" xr:uid="{00000000-0005-0000-0000-000077340000}"/>
    <cellStyle name="Skaičiavimas 13 2 3" xfId="13195" xr:uid="{00000000-0005-0000-0000-000078340000}"/>
    <cellStyle name="Skaičiavimas 13 3" xfId="13196" xr:uid="{00000000-0005-0000-0000-000079340000}"/>
    <cellStyle name="Skaičiavimas 13 4" xfId="13197" xr:uid="{00000000-0005-0000-0000-00007A340000}"/>
    <cellStyle name="Skaičiavimas 14" xfId="13198" xr:uid="{00000000-0005-0000-0000-00007B340000}"/>
    <cellStyle name="Skaičiavimas 14 2" xfId="13199" xr:uid="{00000000-0005-0000-0000-00007C340000}"/>
    <cellStyle name="Skaičiavimas 14 2 2" xfId="13200" xr:uid="{00000000-0005-0000-0000-00007D340000}"/>
    <cellStyle name="Skaičiavimas 14 2 3" xfId="13201" xr:uid="{00000000-0005-0000-0000-00007E340000}"/>
    <cellStyle name="Skaičiavimas 14 3" xfId="13202" xr:uid="{00000000-0005-0000-0000-00007F340000}"/>
    <cellStyle name="Skaičiavimas 14 4" xfId="13203" xr:uid="{00000000-0005-0000-0000-000080340000}"/>
    <cellStyle name="Skaičiavimas 15" xfId="13204" xr:uid="{00000000-0005-0000-0000-000081340000}"/>
    <cellStyle name="Skaičiavimas 15 2" xfId="13205" xr:uid="{00000000-0005-0000-0000-000082340000}"/>
    <cellStyle name="Skaičiavimas 15 2 2" xfId="13206" xr:uid="{00000000-0005-0000-0000-000083340000}"/>
    <cellStyle name="Skaičiavimas 15 2 3" xfId="13207" xr:uid="{00000000-0005-0000-0000-000084340000}"/>
    <cellStyle name="Skaičiavimas 15 3" xfId="13208" xr:uid="{00000000-0005-0000-0000-000085340000}"/>
    <cellStyle name="Skaičiavimas 15 4" xfId="13209" xr:uid="{00000000-0005-0000-0000-000086340000}"/>
    <cellStyle name="Skaičiavimas 16" xfId="13210" xr:uid="{00000000-0005-0000-0000-000087340000}"/>
    <cellStyle name="Skaičiavimas 16 2" xfId="13211" xr:uid="{00000000-0005-0000-0000-000088340000}"/>
    <cellStyle name="Skaičiavimas 16 2 2" xfId="13212" xr:uid="{00000000-0005-0000-0000-000089340000}"/>
    <cellStyle name="Skaičiavimas 16 2 3" xfId="13213" xr:uid="{00000000-0005-0000-0000-00008A340000}"/>
    <cellStyle name="Skaičiavimas 16 3" xfId="13214" xr:uid="{00000000-0005-0000-0000-00008B340000}"/>
    <cellStyle name="Skaičiavimas 16 4" xfId="13215" xr:uid="{00000000-0005-0000-0000-00008C340000}"/>
    <cellStyle name="Skaičiavimas 17" xfId="13216" xr:uid="{00000000-0005-0000-0000-00008D340000}"/>
    <cellStyle name="Skaičiavimas 17 2" xfId="13217" xr:uid="{00000000-0005-0000-0000-00008E340000}"/>
    <cellStyle name="Skaičiavimas 17 2 2" xfId="13218" xr:uid="{00000000-0005-0000-0000-00008F340000}"/>
    <cellStyle name="Skaičiavimas 17 2 3" xfId="13219" xr:uid="{00000000-0005-0000-0000-000090340000}"/>
    <cellStyle name="Skaičiavimas 17 3" xfId="13220" xr:uid="{00000000-0005-0000-0000-000091340000}"/>
    <cellStyle name="Skaičiavimas 17 4" xfId="13221" xr:uid="{00000000-0005-0000-0000-000092340000}"/>
    <cellStyle name="Skaičiavimas 18" xfId="13222" xr:uid="{00000000-0005-0000-0000-000093340000}"/>
    <cellStyle name="Skaičiavimas 18 2" xfId="13223" xr:uid="{00000000-0005-0000-0000-000094340000}"/>
    <cellStyle name="Skaičiavimas 18 2 2" xfId="13224" xr:uid="{00000000-0005-0000-0000-000095340000}"/>
    <cellStyle name="Skaičiavimas 18 2 3" xfId="13225" xr:uid="{00000000-0005-0000-0000-000096340000}"/>
    <cellStyle name="Skaičiavimas 18 3" xfId="13226" xr:uid="{00000000-0005-0000-0000-000097340000}"/>
    <cellStyle name="Skaičiavimas 18 4" xfId="13227" xr:uid="{00000000-0005-0000-0000-000098340000}"/>
    <cellStyle name="Skaičiavimas 19" xfId="13228" xr:uid="{00000000-0005-0000-0000-000099340000}"/>
    <cellStyle name="Skaičiavimas 19 2" xfId="13229" xr:uid="{00000000-0005-0000-0000-00009A340000}"/>
    <cellStyle name="Skaičiavimas 19 3" xfId="13230" xr:uid="{00000000-0005-0000-0000-00009B340000}"/>
    <cellStyle name="Skaičiavimas 2" xfId="13231" xr:uid="{00000000-0005-0000-0000-00009C340000}"/>
    <cellStyle name="Skaičiavimas 2 2" xfId="13232" xr:uid="{00000000-0005-0000-0000-00009D340000}"/>
    <cellStyle name="Skaičiavimas 2 2 2" xfId="13233" xr:uid="{00000000-0005-0000-0000-00009E340000}"/>
    <cellStyle name="Skaičiavimas 2 2 3" xfId="13234" xr:uid="{00000000-0005-0000-0000-00009F340000}"/>
    <cellStyle name="Skaičiavimas 2 3" xfId="13235" xr:uid="{00000000-0005-0000-0000-0000A0340000}"/>
    <cellStyle name="Skaičiavimas 2 4" xfId="13236" xr:uid="{00000000-0005-0000-0000-0000A1340000}"/>
    <cellStyle name="Skaičiavimas 20" xfId="13237" xr:uid="{00000000-0005-0000-0000-0000A2340000}"/>
    <cellStyle name="Skaičiavimas 21" xfId="13238" xr:uid="{00000000-0005-0000-0000-0000A3340000}"/>
    <cellStyle name="Skaičiavimas 22" xfId="13239" xr:uid="{00000000-0005-0000-0000-0000A4340000}"/>
    <cellStyle name="Skaičiavimas 23" xfId="13240" xr:uid="{00000000-0005-0000-0000-0000A5340000}"/>
    <cellStyle name="Skaičiavimas 3" xfId="13241" xr:uid="{00000000-0005-0000-0000-0000A6340000}"/>
    <cellStyle name="Skaičiavimas 3 2" xfId="13242" xr:uid="{00000000-0005-0000-0000-0000A7340000}"/>
    <cellStyle name="Skaičiavimas 3 2 2" xfId="13243" xr:uid="{00000000-0005-0000-0000-0000A8340000}"/>
    <cellStyle name="Skaičiavimas 3 2 3" xfId="13244" xr:uid="{00000000-0005-0000-0000-0000A9340000}"/>
    <cellStyle name="Skaičiavimas 3 3" xfId="13245" xr:uid="{00000000-0005-0000-0000-0000AA340000}"/>
    <cellStyle name="Skaičiavimas 3 4" xfId="13246" xr:uid="{00000000-0005-0000-0000-0000AB340000}"/>
    <cellStyle name="Skaičiavimas 4" xfId="13247" xr:uid="{00000000-0005-0000-0000-0000AC340000}"/>
    <cellStyle name="Skaičiavimas 4 2" xfId="13248" xr:uid="{00000000-0005-0000-0000-0000AD340000}"/>
    <cellStyle name="Skaičiavimas 4 2 2" xfId="13249" xr:uid="{00000000-0005-0000-0000-0000AE340000}"/>
    <cellStyle name="Skaičiavimas 4 2 3" xfId="13250" xr:uid="{00000000-0005-0000-0000-0000AF340000}"/>
    <cellStyle name="Skaičiavimas 4 3" xfId="13251" xr:uid="{00000000-0005-0000-0000-0000B0340000}"/>
    <cellStyle name="Skaičiavimas 4 4" xfId="13252" xr:uid="{00000000-0005-0000-0000-0000B1340000}"/>
    <cellStyle name="Skaičiavimas 5" xfId="13253" xr:uid="{00000000-0005-0000-0000-0000B2340000}"/>
    <cellStyle name="Skaičiavimas 5 2" xfId="13254" xr:uid="{00000000-0005-0000-0000-0000B3340000}"/>
    <cellStyle name="Skaičiavimas 5 2 2" xfId="13255" xr:uid="{00000000-0005-0000-0000-0000B4340000}"/>
    <cellStyle name="Skaičiavimas 5 2 3" xfId="13256" xr:uid="{00000000-0005-0000-0000-0000B5340000}"/>
    <cellStyle name="Skaičiavimas 5 3" xfId="13257" xr:uid="{00000000-0005-0000-0000-0000B6340000}"/>
    <cellStyle name="Skaičiavimas 5 4" xfId="13258" xr:uid="{00000000-0005-0000-0000-0000B7340000}"/>
    <cellStyle name="Skaičiavimas 6" xfId="13259" xr:uid="{00000000-0005-0000-0000-0000B8340000}"/>
    <cellStyle name="Skaičiavimas 6 2" xfId="13260" xr:uid="{00000000-0005-0000-0000-0000B9340000}"/>
    <cellStyle name="Skaičiavimas 6 2 2" xfId="13261" xr:uid="{00000000-0005-0000-0000-0000BA340000}"/>
    <cellStyle name="Skaičiavimas 6 2 3" xfId="13262" xr:uid="{00000000-0005-0000-0000-0000BB340000}"/>
    <cellStyle name="Skaičiavimas 6 3" xfId="13263" xr:uid="{00000000-0005-0000-0000-0000BC340000}"/>
    <cellStyle name="Skaičiavimas 6 4" xfId="13264" xr:uid="{00000000-0005-0000-0000-0000BD340000}"/>
    <cellStyle name="Skaičiavimas 7" xfId="13265" xr:uid="{00000000-0005-0000-0000-0000BE340000}"/>
    <cellStyle name="Skaičiavimas 7 2" xfId="13266" xr:uid="{00000000-0005-0000-0000-0000BF340000}"/>
    <cellStyle name="Skaičiavimas 7 2 2" xfId="13267" xr:uid="{00000000-0005-0000-0000-0000C0340000}"/>
    <cellStyle name="Skaičiavimas 7 2 3" xfId="13268" xr:uid="{00000000-0005-0000-0000-0000C1340000}"/>
    <cellStyle name="Skaičiavimas 7 3" xfId="13269" xr:uid="{00000000-0005-0000-0000-0000C2340000}"/>
    <cellStyle name="Skaičiavimas 7 4" xfId="13270" xr:uid="{00000000-0005-0000-0000-0000C3340000}"/>
    <cellStyle name="Skaičiavimas 8" xfId="13271" xr:uid="{00000000-0005-0000-0000-0000C4340000}"/>
    <cellStyle name="Skaičiavimas 8 2" xfId="13272" xr:uid="{00000000-0005-0000-0000-0000C5340000}"/>
    <cellStyle name="Skaičiavimas 8 2 2" xfId="13273" xr:uid="{00000000-0005-0000-0000-0000C6340000}"/>
    <cellStyle name="Skaičiavimas 8 2 3" xfId="13274" xr:uid="{00000000-0005-0000-0000-0000C7340000}"/>
    <cellStyle name="Skaičiavimas 8 3" xfId="13275" xr:uid="{00000000-0005-0000-0000-0000C8340000}"/>
    <cellStyle name="Skaičiavimas 8 4" xfId="13276" xr:uid="{00000000-0005-0000-0000-0000C9340000}"/>
    <cellStyle name="Skaičiavimas 9" xfId="13277" xr:uid="{00000000-0005-0000-0000-0000CA340000}"/>
    <cellStyle name="Skaičiavimas 9 2" xfId="13278" xr:uid="{00000000-0005-0000-0000-0000CB340000}"/>
    <cellStyle name="Skaičiavimas 9 2 2" xfId="13279" xr:uid="{00000000-0005-0000-0000-0000CC340000}"/>
    <cellStyle name="Skaičiavimas 9 2 3" xfId="13280" xr:uid="{00000000-0005-0000-0000-0000CD340000}"/>
    <cellStyle name="Skaičiavimas 9 3" xfId="13281" xr:uid="{00000000-0005-0000-0000-0000CE340000}"/>
    <cellStyle name="Skaičiavimas 9 4" xfId="13282" xr:uid="{00000000-0005-0000-0000-0000CF340000}"/>
    <cellStyle name="Skaičiavimas_PGM_CHECK" xfId="14901" xr:uid="{00000000-0005-0000-0000-0000D0340000}"/>
    <cellStyle name="Small" xfId="13283" xr:uid="{00000000-0005-0000-0000-0000D1340000}"/>
    <cellStyle name="Sortie 10" xfId="13284" xr:uid="{00000000-0005-0000-0000-0000D2340000}"/>
    <cellStyle name="Sortie 10 2" xfId="13285" xr:uid="{00000000-0005-0000-0000-0000D3340000}"/>
    <cellStyle name="Sortie 10 2 2" xfId="13286" xr:uid="{00000000-0005-0000-0000-0000D4340000}"/>
    <cellStyle name="Sortie 10 2 3" xfId="13287" xr:uid="{00000000-0005-0000-0000-0000D5340000}"/>
    <cellStyle name="Sortie 10 3" xfId="13288" xr:uid="{00000000-0005-0000-0000-0000D6340000}"/>
    <cellStyle name="Sortie 10 4" xfId="13289" xr:uid="{00000000-0005-0000-0000-0000D7340000}"/>
    <cellStyle name="Sortie 11" xfId="13290" xr:uid="{00000000-0005-0000-0000-0000D8340000}"/>
    <cellStyle name="Sortie 11 2" xfId="13291" xr:uid="{00000000-0005-0000-0000-0000D9340000}"/>
    <cellStyle name="Sortie 11 2 2" xfId="13292" xr:uid="{00000000-0005-0000-0000-0000DA340000}"/>
    <cellStyle name="Sortie 11 2 3" xfId="13293" xr:uid="{00000000-0005-0000-0000-0000DB340000}"/>
    <cellStyle name="Sortie 11 3" xfId="13294" xr:uid="{00000000-0005-0000-0000-0000DC340000}"/>
    <cellStyle name="Sortie 11 4" xfId="13295" xr:uid="{00000000-0005-0000-0000-0000DD340000}"/>
    <cellStyle name="Sortie 12" xfId="13296" xr:uid="{00000000-0005-0000-0000-0000DE340000}"/>
    <cellStyle name="Sortie 12 2" xfId="13297" xr:uid="{00000000-0005-0000-0000-0000DF340000}"/>
    <cellStyle name="Sortie 12 2 2" xfId="13298" xr:uid="{00000000-0005-0000-0000-0000E0340000}"/>
    <cellStyle name="Sortie 12 2 3" xfId="13299" xr:uid="{00000000-0005-0000-0000-0000E1340000}"/>
    <cellStyle name="Sortie 12 3" xfId="13300" xr:uid="{00000000-0005-0000-0000-0000E2340000}"/>
    <cellStyle name="Sortie 12 4" xfId="13301" xr:uid="{00000000-0005-0000-0000-0000E3340000}"/>
    <cellStyle name="Sortie 13" xfId="13302" xr:uid="{00000000-0005-0000-0000-0000E4340000}"/>
    <cellStyle name="Sortie 13 2" xfId="13303" xr:uid="{00000000-0005-0000-0000-0000E5340000}"/>
    <cellStyle name="Sortie 13 2 2" xfId="13304" xr:uid="{00000000-0005-0000-0000-0000E6340000}"/>
    <cellStyle name="Sortie 13 2 3" xfId="13305" xr:uid="{00000000-0005-0000-0000-0000E7340000}"/>
    <cellStyle name="Sortie 13 3" xfId="13306" xr:uid="{00000000-0005-0000-0000-0000E8340000}"/>
    <cellStyle name="Sortie 13 4" xfId="13307" xr:uid="{00000000-0005-0000-0000-0000E9340000}"/>
    <cellStyle name="Sortie 14" xfId="13308" xr:uid="{00000000-0005-0000-0000-0000EA340000}"/>
    <cellStyle name="Sortie 14 2" xfId="13309" xr:uid="{00000000-0005-0000-0000-0000EB340000}"/>
    <cellStyle name="Sortie 14 2 2" xfId="13310" xr:uid="{00000000-0005-0000-0000-0000EC340000}"/>
    <cellStyle name="Sortie 14 2 3" xfId="13311" xr:uid="{00000000-0005-0000-0000-0000ED340000}"/>
    <cellStyle name="Sortie 14 3" xfId="13312" xr:uid="{00000000-0005-0000-0000-0000EE340000}"/>
    <cellStyle name="Sortie 14 4" xfId="13313" xr:uid="{00000000-0005-0000-0000-0000EF340000}"/>
    <cellStyle name="Sortie 15" xfId="13314" xr:uid="{00000000-0005-0000-0000-0000F0340000}"/>
    <cellStyle name="Sortie 15 2" xfId="13315" xr:uid="{00000000-0005-0000-0000-0000F1340000}"/>
    <cellStyle name="Sortie 15 2 2" xfId="13316" xr:uid="{00000000-0005-0000-0000-0000F2340000}"/>
    <cellStyle name="Sortie 15 2 3" xfId="13317" xr:uid="{00000000-0005-0000-0000-0000F3340000}"/>
    <cellStyle name="Sortie 15 3" xfId="13318" xr:uid="{00000000-0005-0000-0000-0000F4340000}"/>
    <cellStyle name="Sortie 15 4" xfId="13319" xr:uid="{00000000-0005-0000-0000-0000F5340000}"/>
    <cellStyle name="Sortie 16" xfId="13320" xr:uid="{00000000-0005-0000-0000-0000F6340000}"/>
    <cellStyle name="Sortie 16 2" xfId="13321" xr:uid="{00000000-0005-0000-0000-0000F7340000}"/>
    <cellStyle name="Sortie 16 3" xfId="13322" xr:uid="{00000000-0005-0000-0000-0000F8340000}"/>
    <cellStyle name="Sortie 17" xfId="13323" xr:uid="{00000000-0005-0000-0000-0000F9340000}"/>
    <cellStyle name="Sortie 17 2" xfId="13324" xr:uid="{00000000-0005-0000-0000-0000FA340000}"/>
    <cellStyle name="Sortie 17 3" xfId="13325" xr:uid="{00000000-0005-0000-0000-0000FB340000}"/>
    <cellStyle name="Sortie 2" xfId="13326" xr:uid="{00000000-0005-0000-0000-0000FC340000}"/>
    <cellStyle name="Sortie 2 2" xfId="13327" xr:uid="{00000000-0005-0000-0000-0000FD340000}"/>
    <cellStyle name="Sortie 2 2 2" xfId="13328" xr:uid="{00000000-0005-0000-0000-0000FE340000}"/>
    <cellStyle name="Sortie 2 2 2 2" xfId="13329" xr:uid="{00000000-0005-0000-0000-0000FF340000}"/>
    <cellStyle name="Sortie 2 2 3" xfId="13330" xr:uid="{00000000-0005-0000-0000-000000350000}"/>
    <cellStyle name="Sortie 2 2 3 2" xfId="13331" xr:uid="{00000000-0005-0000-0000-000001350000}"/>
    <cellStyle name="Sortie 2 2 4" xfId="13332" xr:uid="{00000000-0005-0000-0000-000002350000}"/>
    <cellStyle name="Sortie 2 2 4 2" xfId="13333" xr:uid="{00000000-0005-0000-0000-000003350000}"/>
    <cellStyle name="Sortie 2 2 5" xfId="13334" xr:uid="{00000000-0005-0000-0000-000004350000}"/>
    <cellStyle name="Sortie 2 3" xfId="13335" xr:uid="{00000000-0005-0000-0000-000005350000}"/>
    <cellStyle name="Sortie 2 3 2" xfId="13336" xr:uid="{00000000-0005-0000-0000-000006350000}"/>
    <cellStyle name="Sortie 2 4" xfId="13337" xr:uid="{00000000-0005-0000-0000-000007350000}"/>
    <cellStyle name="Sortie 2 4 2" xfId="13338" xr:uid="{00000000-0005-0000-0000-000008350000}"/>
    <cellStyle name="Sortie 2 5" xfId="13339" xr:uid="{00000000-0005-0000-0000-000009350000}"/>
    <cellStyle name="Sortie 2 5 2" xfId="13340" xr:uid="{00000000-0005-0000-0000-00000A350000}"/>
    <cellStyle name="Sortie 2 6" xfId="13341" xr:uid="{00000000-0005-0000-0000-00000B350000}"/>
    <cellStyle name="Sortie 2_130725 DSNA 2011 Dossier de révision initial" xfId="14883" xr:uid="{00000000-0005-0000-0000-00000C350000}"/>
    <cellStyle name="Sortie 3" xfId="13342" xr:uid="{00000000-0005-0000-0000-00000D350000}"/>
    <cellStyle name="Sortie 3 2" xfId="13343" xr:uid="{00000000-0005-0000-0000-00000E350000}"/>
    <cellStyle name="Sortie 3 2 2" xfId="13344" xr:uid="{00000000-0005-0000-0000-00000F350000}"/>
    <cellStyle name="Sortie 3 2 3" xfId="13345" xr:uid="{00000000-0005-0000-0000-000010350000}"/>
    <cellStyle name="Sortie 3 3" xfId="13346" xr:uid="{00000000-0005-0000-0000-000011350000}"/>
    <cellStyle name="Sortie 3 3 2" xfId="13347" xr:uid="{00000000-0005-0000-0000-000012350000}"/>
    <cellStyle name="Sortie 3 4" xfId="13348" xr:uid="{00000000-0005-0000-0000-000013350000}"/>
    <cellStyle name="Sortie 3 4 2" xfId="13349" xr:uid="{00000000-0005-0000-0000-000014350000}"/>
    <cellStyle name="Sortie 3 5" xfId="13350" xr:uid="{00000000-0005-0000-0000-000015350000}"/>
    <cellStyle name="Sortie 3 6" xfId="13351" xr:uid="{00000000-0005-0000-0000-000016350000}"/>
    <cellStyle name="Sortie 4" xfId="13352" xr:uid="{00000000-0005-0000-0000-000017350000}"/>
    <cellStyle name="Sortie 4 2" xfId="13353" xr:uid="{00000000-0005-0000-0000-000018350000}"/>
    <cellStyle name="Sortie 4 2 2" xfId="13354" xr:uid="{00000000-0005-0000-0000-000019350000}"/>
    <cellStyle name="Sortie 4 2 3" xfId="13355" xr:uid="{00000000-0005-0000-0000-00001A350000}"/>
    <cellStyle name="Sortie 4 2 4" xfId="13356" xr:uid="{00000000-0005-0000-0000-00001B350000}"/>
    <cellStyle name="Sortie 4 3" xfId="13357" xr:uid="{00000000-0005-0000-0000-00001C350000}"/>
    <cellStyle name="Sortie 4 3 2" xfId="13358" xr:uid="{00000000-0005-0000-0000-00001D350000}"/>
    <cellStyle name="Sortie 4 3 3" xfId="13359" xr:uid="{00000000-0005-0000-0000-00001E350000}"/>
    <cellStyle name="Sortie 4 4" xfId="13360" xr:uid="{00000000-0005-0000-0000-00001F350000}"/>
    <cellStyle name="Sortie 4 5" xfId="13361" xr:uid="{00000000-0005-0000-0000-000020350000}"/>
    <cellStyle name="Sortie 5" xfId="13362" xr:uid="{00000000-0005-0000-0000-000021350000}"/>
    <cellStyle name="Sortie 5 2" xfId="13363" xr:uid="{00000000-0005-0000-0000-000022350000}"/>
    <cellStyle name="Sortie 5 2 2" xfId="13364" xr:uid="{00000000-0005-0000-0000-000023350000}"/>
    <cellStyle name="Sortie 5 2 3" xfId="13365" xr:uid="{00000000-0005-0000-0000-000024350000}"/>
    <cellStyle name="Sortie 5 3" xfId="13366" xr:uid="{00000000-0005-0000-0000-000025350000}"/>
    <cellStyle name="Sortie 5 3 2" xfId="13367" xr:uid="{00000000-0005-0000-0000-000026350000}"/>
    <cellStyle name="Sortie 5 4" xfId="13368" xr:uid="{00000000-0005-0000-0000-000027350000}"/>
    <cellStyle name="Sortie 5 5" xfId="13369" xr:uid="{00000000-0005-0000-0000-000028350000}"/>
    <cellStyle name="Sortie 5 6" xfId="13370" xr:uid="{00000000-0005-0000-0000-000029350000}"/>
    <cellStyle name="Sortie 6" xfId="13371" xr:uid="{00000000-0005-0000-0000-00002A350000}"/>
    <cellStyle name="Sortie 6 2" xfId="13372" xr:uid="{00000000-0005-0000-0000-00002B350000}"/>
    <cellStyle name="Sortie 6 2 2" xfId="13373" xr:uid="{00000000-0005-0000-0000-00002C350000}"/>
    <cellStyle name="Sortie 6 2 3" xfId="13374" xr:uid="{00000000-0005-0000-0000-00002D350000}"/>
    <cellStyle name="Sortie 6 3" xfId="13375" xr:uid="{00000000-0005-0000-0000-00002E350000}"/>
    <cellStyle name="Sortie 6 4" xfId="13376" xr:uid="{00000000-0005-0000-0000-00002F350000}"/>
    <cellStyle name="Sortie 7" xfId="13377" xr:uid="{00000000-0005-0000-0000-000030350000}"/>
    <cellStyle name="Sortie 7 2" xfId="13378" xr:uid="{00000000-0005-0000-0000-000031350000}"/>
    <cellStyle name="Sortie 7 2 2" xfId="13379" xr:uid="{00000000-0005-0000-0000-000032350000}"/>
    <cellStyle name="Sortie 7 2 3" xfId="13380" xr:uid="{00000000-0005-0000-0000-000033350000}"/>
    <cellStyle name="Sortie 7 3" xfId="13381" xr:uid="{00000000-0005-0000-0000-000034350000}"/>
    <cellStyle name="Sortie 7 4" xfId="13382" xr:uid="{00000000-0005-0000-0000-000035350000}"/>
    <cellStyle name="Sortie 8" xfId="13383" xr:uid="{00000000-0005-0000-0000-000036350000}"/>
    <cellStyle name="Sortie 8 2" xfId="13384" xr:uid="{00000000-0005-0000-0000-000037350000}"/>
    <cellStyle name="Sortie 8 2 2" xfId="13385" xr:uid="{00000000-0005-0000-0000-000038350000}"/>
    <cellStyle name="Sortie 8 2 3" xfId="13386" xr:uid="{00000000-0005-0000-0000-000039350000}"/>
    <cellStyle name="Sortie 8 3" xfId="13387" xr:uid="{00000000-0005-0000-0000-00003A350000}"/>
    <cellStyle name="Sortie 8 4" xfId="13388" xr:uid="{00000000-0005-0000-0000-00003B350000}"/>
    <cellStyle name="Sortie 9" xfId="13389" xr:uid="{00000000-0005-0000-0000-00003C350000}"/>
    <cellStyle name="Sortie 9 2" xfId="13390" xr:uid="{00000000-0005-0000-0000-00003D350000}"/>
    <cellStyle name="Sortie 9 2 2" xfId="13391" xr:uid="{00000000-0005-0000-0000-00003E350000}"/>
    <cellStyle name="Sortie 9 2 3" xfId="13392" xr:uid="{00000000-0005-0000-0000-00003F350000}"/>
    <cellStyle name="Sortie 9 3" xfId="13393" xr:uid="{00000000-0005-0000-0000-000040350000}"/>
    <cellStyle name="Sortie 9 4" xfId="13394" xr:uid="{00000000-0005-0000-0000-000041350000}"/>
    <cellStyle name="Source Field - Green" xfId="13395" xr:uid="{00000000-0005-0000-0000-000042350000}"/>
    <cellStyle name="Source Field - Green 2" xfId="13396" xr:uid="{00000000-0005-0000-0000-000043350000}"/>
    <cellStyle name="Source Field - Green 3" xfId="13397" xr:uid="{00000000-0005-0000-0000-000044350000}"/>
    <cellStyle name="Správně" xfId="13398" xr:uid="{00000000-0005-0000-0000-000045350000}"/>
    <cellStyle name="ss1" xfId="13399" xr:uid="{00000000-0005-0000-0000-000046350000}"/>
    <cellStyle name="ss1 2" xfId="13400" xr:uid="{00000000-0005-0000-0000-000047350000}"/>
    <cellStyle name="ss10" xfId="13401" xr:uid="{00000000-0005-0000-0000-000048350000}"/>
    <cellStyle name="ss10 2" xfId="13402" xr:uid="{00000000-0005-0000-0000-000049350000}"/>
    <cellStyle name="ss11" xfId="13403" xr:uid="{00000000-0005-0000-0000-00004A350000}"/>
    <cellStyle name="ss11 2" xfId="13404" xr:uid="{00000000-0005-0000-0000-00004B350000}"/>
    <cellStyle name="ss12" xfId="13405" xr:uid="{00000000-0005-0000-0000-00004C350000}"/>
    <cellStyle name="ss12 2" xfId="13406" xr:uid="{00000000-0005-0000-0000-00004D350000}"/>
    <cellStyle name="ss13" xfId="13407" xr:uid="{00000000-0005-0000-0000-00004E350000}"/>
    <cellStyle name="ss13 2" xfId="13408" xr:uid="{00000000-0005-0000-0000-00004F350000}"/>
    <cellStyle name="ss14" xfId="13409" xr:uid="{00000000-0005-0000-0000-000050350000}"/>
    <cellStyle name="ss14 2" xfId="13410" xr:uid="{00000000-0005-0000-0000-000051350000}"/>
    <cellStyle name="ss15" xfId="13411" xr:uid="{00000000-0005-0000-0000-000052350000}"/>
    <cellStyle name="ss15 2" xfId="13412" xr:uid="{00000000-0005-0000-0000-000053350000}"/>
    <cellStyle name="ss16" xfId="13413" xr:uid="{00000000-0005-0000-0000-000054350000}"/>
    <cellStyle name="ss16 2" xfId="13414" xr:uid="{00000000-0005-0000-0000-000055350000}"/>
    <cellStyle name="ss17" xfId="13415" xr:uid="{00000000-0005-0000-0000-000056350000}"/>
    <cellStyle name="ss18" xfId="13416" xr:uid="{00000000-0005-0000-0000-000057350000}"/>
    <cellStyle name="ss19" xfId="13417" xr:uid="{00000000-0005-0000-0000-000058350000}"/>
    <cellStyle name="ss2" xfId="13418" xr:uid="{00000000-0005-0000-0000-000059350000}"/>
    <cellStyle name="ss20" xfId="13419" xr:uid="{00000000-0005-0000-0000-00005A350000}"/>
    <cellStyle name="ss21" xfId="13420" xr:uid="{00000000-0005-0000-0000-00005B350000}"/>
    <cellStyle name="ss22" xfId="13421" xr:uid="{00000000-0005-0000-0000-00005C350000}"/>
    <cellStyle name="ss23" xfId="13422" xr:uid="{00000000-0005-0000-0000-00005D350000}"/>
    <cellStyle name="ss24" xfId="13423" xr:uid="{00000000-0005-0000-0000-00005E350000}"/>
    <cellStyle name="ss25" xfId="13424" xr:uid="{00000000-0005-0000-0000-00005F350000}"/>
    <cellStyle name="ss26" xfId="13425" xr:uid="{00000000-0005-0000-0000-000060350000}"/>
    <cellStyle name="ss27" xfId="13426" xr:uid="{00000000-0005-0000-0000-000061350000}"/>
    <cellStyle name="ss28" xfId="13427" xr:uid="{00000000-0005-0000-0000-000062350000}"/>
    <cellStyle name="ss29" xfId="13428" xr:uid="{00000000-0005-0000-0000-000063350000}"/>
    <cellStyle name="ss3" xfId="13429" xr:uid="{00000000-0005-0000-0000-000064350000}"/>
    <cellStyle name="ss30" xfId="13430" xr:uid="{00000000-0005-0000-0000-000065350000}"/>
    <cellStyle name="ss31" xfId="13431" xr:uid="{00000000-0005-0000-0000-000066350000}"/>
    <cellStyle name="ss32" xfId="13432" xr:uid="{00000000-0005-0000-0000-000067350000}"/>
    <cellStyle name="ss33" xfId="13433" xr:uid="{00000000-0005-0000-0000-000068350000}"/>
    <cellStyle name="ss34" xfId="13434" xr:uid="{00000000-0005-0000-0000-000069350000}"/>
    <cellStyle name="ss35" xfId="13435" xr:uid="{00000000-0005-0000-0000-00006A350000}"/>
    <cellStyle name="ss36" xfId="13436" xr:uid="{00000000-0005-0000-0000-00006B350000}"/>
    <cellStyle name="ss37" xfId="13437" xr:uid="{00000000-0005-0000-0000-00006C350000}"/>
    <cellStyle name="ss38" xfId="13438" xr:uid="{00000000-0005-0000-0000-00006D350000}"/>
    <cellStyle name="ss39" xfId="13439" xr:uid="{00000000-0005-0000-0000-00006E350000}"/>
    <cellStyle name="ss39 2" xfId="13440" xr:uid="{00000000-0005-0000-0000-00006F350000}"/>
    <cellStyle name="ss4" xfId="13441" xr:uid="{00000000-0005-0000-0000-000070350000}"/>
    <cellStyle name="ss5" xfId="13442" xr:uid="{00000000-0005-0000-0000-000071350000}"/>
    <cellStyle name="ss6" xfId="13443" xr:uid="{00000000-0005-0000-0000-000072350000}"/>
    <cellStyle name="ss6 2" xfId="13444" xr:uid="{00000000-0005-0000-0000-000073350000}"/>
    <cellStyle name="ss7" xfId="13445" xr:uid="{00000000-0005-0000-0000-000074350000}"/>
    <cellStyle name="ss8" xfId="13446" xr:uid="{00000000-0005-0000-0000-000075350000}"/>
    <cellStyle name="ss9" xfId="13447" xr:uid="{00000000-0005-0000-0000-000076350000}"/>
    <cellStyle name="Standard 2" xfId="13449" xr:uid="{00000000-0005-0000-0000-000078350000}"/>
    <cellStyle name="Standard 2 2" xfId="13450" xr:uid="{00000000-0005-0000-0000-000079350000}"/>
    <cellStyle name="Standard 2 3" xfId="13451" xr:uid="{00000000-0005-0000-0000-00007A350000}"/>
    <cellStyle name="Standard 3" xfId="13452" xr:uid="{00000000-0005-0000-0000-00007B350000}"/>
    <cellStyle name="Standard 3 2" xfId="13453" xr:uid="{00000000-0005-0000-0000-00007C350000}"/>
    <cellStyle name="Standard 3 2 2" xfId="13454" xr:uid="{00000000-0005-0000-0000-00007D350000}"/>
    <cellStyle name="Standard 3 2 3" xfId="13455" xr:uid="{00000000-0005-0000-0000-00007E350000}"/>
    <cellStyle name="Standard 3 2 4" xfId="13456" xr:uid="{00000000-0005-0000-0000-00007F350000}"/>
    <cellStyle name="Standard 3 3" xfId="13457" xr:uid="{00000000-0005-0000-0000-000080350000}"/>
    <cellStyle name="Standard 4" xfId="13458" xr:uid="{00000000-0005-0000-0000-000081350000}"/>
    <cellStyle name="Standard 4 2" xfId="13459" xr:uid="{00000000-0005-0000-0000-000082350000}"/>
    <cellStyle name="Standard 4 2 2" xfId="13460" xr:uid="{00000000-0005-0000-0000-000083350000}"/>
    <cellStyle name="Standard 4 2 2 2" xfId="13461" xr:uid="{00000000-0005-0000-0000-000084350000}"/>
    <cellStyle name="Standard 4 2 2 2 2" xfId="13462" xr:uid="{00000000-0005-0000-0000-000085350000}"/>
    <cellStyle name="Standard 4 2 2 3" xfId="13463" xr:uid="{00000000-0005-0000-0000-000086350000}"/>
    <cellStyle name="Standard 4 2 3" xfId="13464" xr:uid="{00000000-0005-0000-0000-000087350000}"/>
    <cellStyle name="Standard 4 2 3 2" xfId="13465" xr:uid="{00000000-0005-0000-0000-000088350000}"/>
    <cellStyle name="Standard 4 2 4" xfId="13466" xr:uid="{00000000-0005-0000-0000-000089350000}"/>
    <cellStyle name="Standard 4 3" xfId="13467" xr:uid="{00000000-0005-0000-0000-00008A350000}"/>
    <cellStyle name="Standard 4 4" xfId="13468" xr:uid="{00000000-0005-0000-0000-00008B350000}"/>
    <cellStyle name="Standard 4 4 2" xfId="13469" xr:uid="{00000000-0005-0000-0000-00008C350000}"/>
    <cellStyle name="Standard 4 4 2 2" xfId="13470" xr:uid="{00000000-0005-0000-0000-00008D350000}"/>
    <cellStyle name="Standard 4 4 3" xfId="13471" xr:uid="{00000000-0005-0000-0000-00008E350000}"/>
    <cellStyle name="Standard 4 5" xfId="13472" xr:uid="{00000000-0005-0000-0000-00008F350000}"/>
    <cellStyle name="Standard 4 5 2" xfId="13473" xr:uid="{00000000-0005-0000-0000-000090350000}"/>
    <cellStyle name="Standard 4 6" xfId="13474" xr:uid="{00000000-0005-0000-0000-000091350000}"/>
    <cellStyle name="Standard 4 6 2" xfId="13475" xr:uid="{00000000-0005-0000-0000-000092350000}"/>
    <cellStyle name="Standard 4 6 3" xfId="13476" xr:uid="{00000000-0005-0000-0000-000093350000}"/>
    <cellStyle name="Standard 4 6 4" xfId="13477" xr:uid="{00000000-0005-0000-0000-000094350000}"/>
    <cellStyle name="Standard 4 7" xfId="13478" xr:uid="{00000000-0005-0000-0000-000095350000}"/>
    <cellStyle name="Standard 4 7 2" xfId="14780" xr:uid="{00000000-0005-0000-0000-000096350000}"/>
    <cellStyle name="Standard 4 8" xfId="14742" xr:uid="{00000000-0005-0000-0000-000097350000}"/>
    <cellStyle name="Standard 5" xfId="13479" xr:uid="{00000000-0005-0000-0000-000098350000}"/>
    <cellStyle name="Standard 5 2" xfId="13480" xr:uid="{00000000-0005-0000-0000-000099350000}"/>
    <cellStyle name="Standard 6" xfId="13481" xr:uid="{00000000-0005-0000-0000-00009A350000}"/>
    <cellStyle name="Standard 6 2" xfId="13482" xr:uid="{00000000-0005-0000-0000-00009B350000}"/>
    <cellStyle name="Standard 7" xfId="13483" xr:uid="{00000000-0005-0000-0000-00009C350000}"/>
    <cellStyle name="Standard 9 3" xfId="14910" xr:uid="{00000000-0005-0000-0000-00009D350000}"/>
    <cellStyle name="Standard,f,u" xfId="13484" xr:uid="{00000000-0005-0000-0000-00009E350000}"/>
    <cellStyle name="Standard,f,u 2" xfId="13485" xr:uid="{00000000-0005-0000-0000-00009F350000}"/>
    <cellStyle name="Standard,f,u 2 2" xfId="14683" xr:uid="{00000000-0005-0000-0000-0000A0350000}"/>
    <cellStyle name="Standard,f,u 3" xfId="13486" xr:uid="{00000000-0005-0000-0000-0000A1350000}"/>
    <cellStyle name="Standard,f,u 3 2" xfId="14834" xr:uid="{00000000-0005-0000-0000-0000A2350000}"/>
    <cellStyle name="Standard,f,u 4" xfId="13487" xr:uid="{00000000-0005-0000-0000-0000A3350000}"/>
    <cellStyle name="Standard,f,u 5" xfId="13488" xr:uid="{00000000-0005-0000-0000-0000A4350000}"/>
    <cellStyle name="Standard,f,u 6" xfId="14709" xr:uid="{00000000-0005-0000-0000-0000A5350000}"/>
    <cellStyle name="Standard,f,u 7" xfId="14704" xr:uid="{00000000-0005-0000-0000-0000A6350000}"/>
    <cellStyle name="Standard,Helv 8" xfId="13489" xr:uid="{00000000-0005-0000-0000-0000A7350000}"/>
    <cellStyle name="Standard,Helv 8 2" xfId="13490" xr:uid="{00000000-0005-0000-0000-0000A8350000}"/>
    <cellStyle name="Standard,Helv 8 3" xfId="13491" xr:uid="{00000000-0005-0000-0000-0000A9350000}"/>
    <cellStyle name="Standard,helv,8" xfId="13492" xr:uid="{00000000-0005-0000-0000-0000AA350000}"/>
    <cellStyle name="Standard_20071025_Progn.Ergebnisse-nach_DLE" xfId="13493" xr:uid="{00000000-0005-0000-0000-0000AB350000}"/>
    <cellStyle name="Standaard_BoQ Lot B2 Airfield Lighting" xfId="13448" xr:uid="{00000000-0005-0000-0000-000077350000}"/>
    <cellStyle name="Stile 1" xfId="13494" xr:uid="{00000000-0005-0000-0000-0000AC350000}"/>
    <cellStyle name="Style 1" xfId="13495" xr:uid="{00000000-0005-0000-0000-0000AD350000}"/>
    <cellStyle name="Style 1 2" xfId="13496" xr:uid="{00000000-0005-0000-0000-0000AE350000}"/>
    <cellStyle name="Style 1 2 2" xfId="13497" xr:uid="{00000000-0005-0000-0000-0000AF350000}"/>
    <cellStyle name="Style 1 3" xfId="13498" xr:uid="{00000000-0005-0000-0000-0000B0350000}"/>
    <cellStyle name="Style 1_2012 07 11 budgétisation 2013 2015" xfId="13499" xr:uid="{00000000-0005-0000-0000-0000B1350000}"/>
    <cellStyle name="Style 2" xfId="13500" xr:uid="{00000000-0005-0000-0000-0000B2350000}"/>
    <cellStyle name="Style 2 2" xfId="13501" xr:uid="{00000000-0005-0000-0000-0000B3350000}"/>
    <cellStyle name="Style 2 3" xfId="13502" xr:uid="{00000000-0005-0000-0000-0000B4350000}"/>
    <cellStyle name="Sub totals" xfId="13503" xr:uid="{00000000-0005-0000-0000-0000B5350000}"/>
    <cellStyle name="Sub totals 2" xfId="13504" xr:uid="{00000000-0005-0000-0000-0000B6350000}"/>
    <cellStyle name="Sub totals 3" xfId="13505" xr:uid="{00000000-0005-0000-0000-0000B7350000}"/>
    <cellStyle name="Sub totals 4" xfId="13506" xr:uid="{00000000-0005-0000-0000-0000B8350000}"/>
    <cellStyle name="Sub totals 5" xfId="13507" xr:uid="{00000000-0005-0000-0000-0000B9350000}"/>
    <cellStyle name="Subtotal (line)" xfId="13508" xr:uid="{00000000-0005-0000-0000-0000BA350000}"/>
    <cellStyle name="Subtotal (line) 2" xfId="13509" xr:uid="{00000000-0005-0000-0000-0000BB350000}"/>
    <cellStyle name="Suf OBI" xfId="13510" xr:uid="{00000000-0005-0000-0000-0000BC350000}"/>
    <cellStyle name="Suma" xfId="13511" xr:uid="{00000000-0005-0000-0000-0000BD350000}"/>
    <cellStyle name="Suma 10" xfId="13512" xr:uid="{00000000-0005-0000-0000-0000BE350000}"/>
    <cellStyle name="Suma 10 2" xfId="13513" xr:uid="{00000000-0005-0000-0000-0000BF350000}"/>
    <cellStyle name="Suma 10 2 2" xfId="13514" xr:uid="{00000000-0005-0000-0000-0000C0350000}"/>
    <cellStyle name="Suma 10 2 3" xfId="13515" xr:uid="{00000000-0005-0000-0000-0000C1350000}"/>
    <cellStyle name="Suma 10 3" xfId="13516" xr:uid="{00000000-0005-0000-0000-0000C2350000}"/>
    <cellStyle name="Suma 10 4" xfId="13517" xr:uid="{00000000-0005-0000-0000-0000C3350000}"/>
    <cellStyle name="Suma 11" xfId="13518" xr:uid="{00000000-0005-0000-0000-0000C4350000}"/>
    <cellStyle name="Suma 11 2" xfId="13519" xr:uid="{00000000-0005-0000-0000-0000C5350000}"/>
    <cellStyle name="Suma 11 2 2" xfId="13520" xr:uid="{00000000-0005-0000-0000-0000C6350000}"/>
    <cellStyle name="Suma 11 2 3" xfId="13521" xr:uid="{00000000-0005-0000-0000-0000C7350000}"/>
    <cellStyle name="Suma 11 3" xfId="13522" xr:uid="{00000000-0005-0000-0000-0000C8350000}"/>
    <cellStyle name="Suma 11 4" xfId="13523" xr:uid="{00000000-0005-0000-0000-0000C9350000}"/>
    <cellStyle name="Suma 12" xfId="13524" xr:uid="{00000000-0005-0000-0000-0000CA350000}"/>
    <cellStyle name="Suma 12 2" xfId="13525" xr:uid="{00000000-0005-0000-0000-0000CB350000}"/>
    <cellStyle name="Suma 12 2 2" xfId="13526" xr:uid="{00000000-0005-0000-0000-0000CC350000}"/>
    <cellStyle name="Suma 12 2 3" xfId="13527" xr:uid="{00000000-0005-0000-0000-0000CD350000}"/>
    <cellStyle name="Suma 12 3" xfId="13528" xr:uid="{00000000-0005-0000-0000-0000CE350000}"/>
    <cellStyle name="Suma 12 4" xfId="13529" xr:uid="{00000000-0005-0000-0000-0000CF350000}"/>
    <cellStyle name="Suma 13" xfId="13530" xr:uid="{00000000-0005-0000-0000-0000D0350000}"/>
    <cellStyle name="Suma 13 2" xfId="13531" xr:uid="{00000000-0005-0000-0000-0000D1350000}"/>
    <cellStyle name="Suma 13 2 2" xfId="13532" xr:uid="{00000000-0005-0000-0000-0000D2350000}"/>
    <cellStyle name="Suma 13 2 3" xfId="13533" xr:uid="{00000000-0005-0000-0000-0000D3350000}"/>
    <cellStyle name="Suma 13 3" xfId="13534" xr:uid="{00000000-0005-0000-0000-0000D4350000}"/>
    <cellStyle name="Suma 13 4" xfId="13535" xr:uid="{00000000-0005-0000-0000-0000D5350000}"/>
    <cellStyle name="Suma 14" xfId="13536" xr:uid="{00000000-0005-0000-0000-0000D6350000}"/>
    <cellStyle name="Suma 14 2" xfId="13537" xr:uid="{00000000-0005-0000-0000-0000D7350000}"/>
    <cellStyle name="Suma 14 2 2" xfId="13538" xr:uid="{00000000-0005-0000-0000-0000D8350000}"/>
    <cellStyle name="Suma 14 2 3" xfId="13539" xr:uid="{00000000-0005-0000-0000-0000D9350000}"/>
    <cellStyle name="Suma 14 3" xfId="13540" xr:uid="{00000000-0005-0000-0000-0000DA350000}"/>
    <cellStyle name="Suma 14 4" xfId="13541" xr:uid="{00000000-0005-0000-0000-0000DB350000}"/>
    <cellStyle name="Suma 15" xfId="13542" xr:uid="{00000000-0005-0000-0000-0000DC350000}"/>
    <cellStyle name="Suma 15 2" xfId="13543" xr:uid="{00000000-0005-0000-0000-0000DD350000}"/>
    <cellStyle name="Suma 15 2 2" xfId="13544" xr:uid="{00000000-0005-0000-0000-0000DE350000}"/>
    <cellStyle name="Suma 15 2 3" xfId="13545" xr:uid="{00000000-0005-0000-0000-0000DF350000}"/>
    <cellStyle name="Suma 15 3" xfId="13546" xr:uid="{00000000-0005-0000-0000-0000E0350000}"/>
    <cellStyle name="Suma 15 4" xfId="13547" xr:uid="{00000000-0005-0000-0000-0000E1350000}"/>
    <cellStyle name="Suma 16" xfId="13548" xr:uid="{00000000-0005-0000-0000-0000E2350000}"/>
    <cellStyle name="Suma 16 2" xfId="13549" xr:uid="{00000000-0005-0000-0000-0000E3350000}"/>
    <cellStyle name="Suma 16 2 2" xfId="13550" xr:uid="{00000000-0005-0000-0000-0000E4350000}"/>
    <cellStyle name="Suma 16 2 3" xfId="13551" xr:uid="{00000000-0005-0000-0000-0000E5350000}"/>
    <cellStyle name="Suma 16 3" xfId="13552" xr:uid="{00000000-0005-0000-0000-0000E6350000}"/>
    <cellStyle name="Suma 16 4" xfId="13553" xr:uid="{00000000-0005-0000-0000-0000E7350000}"/>
    <cellStyle name="Suma 17" xfId="13554" xr:uid="{00000000-0005-0000-0000-0000E8350000}"/>
    <cellStyle name="Suma 17 2" xfId="13555" xr:uid="{00000000-0005-0000-0000-0000E9350000}"/>
    <cellStyle name="Suma 17 2 2" xfId="13556" xr:uid="{00000000-0005-0000-0000-0000EA350000}"/>
    <cellStyle name="Suma 17 2 3" xfId="13557" xr:uid="{00000000-0005-0000-0000-0000EB350000}"/>
    <cellStyle name="Suma 17 3" xfId="13558" xr:uid="{00000000-0005-0000-0000-0000EC350000}"/>
    <cellStyle name="Suma 17 4" xfId="13559" xr:uid="{00000000-0005-0000-0000-0000ED350000}"/>
    <cellStyle name="Suma 18" xfId="13560" xr:uid="{00000000-0005-0000-0000-0000EE350000}"/>
    <cellStyle name="Suma 18 2" xfId="13561" xr:uid="{00000000-0005-0000-0000-0000EF350000}"/>
    <cellStyle name="Suma 18 3" xfId="13562" xr:uid="{00000000-0005-0000-0000-0000F0350000}"/>
    <cellStyle name="Suma 19" xfId="13563" xr:uid="{00000000-0005-0000-0000-0000F1350000}"/>
    <cellStyle name="Suma 19 2" xfId="13564" xr:uid="{00000000-0005-0000-0000-0000F2350000}"/>
    <cellStyle name="Suma 19 3" xfId="13565" xr:uid="{00000000-0005-0000-0000-0000F3350000}"/>
    <cellStyle name="Suma 2" xfId="13566" xr:uid="{00000000-0005-0000-0000-0000F4350000}"/>
    <cellStyle name="Suma 2 2" xfId="13567" xr:uid="{00000000-0005-0000-0000-0000F5350000}"/>
    <cellStyle name="Suma 2 2 2" xfId="13568" xr:uid="{00000000-0005-0000-0000-0000F6350000}"/>
    <cellStyle name="Suma 2 2 3" xfId="13569" xr:uid="{00000000-0005-0000-0000-0000F7350000}"/>
    <cellStyle name="Suma 2 3" xfId="13570" xr:uid="{00000000-0005-0000-0000-0000F8350000}"/>
    <cellStyle name="Suma 2 4" xfId="13571" xr:uid="{00000000-0005-0000-0000-0000F9350000}"/>
    <cellStyle name="Suma 20" xfId="13572" xr:uid="{00000000-0005-0000-0000-0000FA350000}"/>
    <cellStyle name="Suma 21" xfId="13573" xr:uid="{00000000-0005-0000-0000-0000FB350000}"/>
    <cellStyle name="Suma 22" xfId="13574" xr:uid="{00000000-0005-0000-0000-0000FC350000}"/>
    <cellStyle name="Suma 23" xfId="13575" xr:uid="{00000000-0005-0000-0000-0000FD350000}"/>
    <cellStyle name="Suma 3" xfId="13576" xr:uid="{00000000-0005-0000-0000-0000FE350000}"/>
    <cellStyle name="Suma 3 2" xfId="13577" xr:uid="{00000000-0005-0000-0000-0000FF350000}"/>
    <cellStyle name="Suma 3 2 2" xfId="13578" xr:uid="{00000000-0005-0000-0000-000000360000}"/>
    <cellStyle name="Suma 3 2 3" xfId="13579" xr:uid="{00000000-0005-0000-0000-000001360000}"/>
    <cellStyle name="Suma 3 3" xfId="13580" xr:uid="{00000000-0005-0000-0000-000002360000}"/>
    <cellStyle name="Suma 3 4" xfId="13581" xr:uid="{00000000-0005-0000-0000-000003360000}"/>
    <cellStyle name="Suma 4" xfId="13582" xr:uid="{00000000-0005-0000-0000-000004360000}"/>
    <cellStyle name="Suma 4 2" xfId="13583" xr:uid="{00000000-0005-0000-0000-000005360000}"/>
    <cellStyle name="Suma 4 2 2" xfId="13584" xr:uid="{00000000-0005-0000-0000-000006360000}"/>
    <cellStyle name="Suma 4 2 3" xfId="13585" xr:uid="{00000000-0005-0000-0000-000007360000}"/>
    <cellStyle name="Suma 4 3" xfId="13586" xr:uid="{00000000-0005-0000-0000-000008360000}"/>
    <cellStyle name="Suma 4 4" xfId="13587" xr:uid="{00000000-0005-0000-0000-000009360000}"/>
    <cellStyle name="Suma 5" xfId="13588" xr:uid="{00000000-0005-0000-0000-00000A360000}"/>
    <cellStyle name="Suma 5 2" xfId="13589" xr:uid="{00000000-0005-0000-0000-00000B360000}"/>
    <cellStyle name="Suma 5 2 2" xfId="13590" xr:uid="{00000000-0005-0000-0000-00000C360000}"/>
    <cellStyle name="Suma 5 2 3" xfId="13591" xr:uid="{00000000-0005-0000-0000-00000D360000}"/>
    <cellStyle name="Suma 5 3" xfId="13592" xr:uid="{00000000-0005-0000-0000-00000E360000}"/>
    <cellStyle name="Suma 5 4" xfId="13593" xr:uid="{00000000-0005-0000-0000-00000F360000}"/>
    <cellStyle name="Suma 6" xfId="13594" xr:uid="{00000000-0005-0000-0000-000010360000}"/>
    <cellStyle name="Suma 6 2" xfId="13595" xr:uid="{00000000-0005-0000-0000-000011360000}"/>
    <cellStyle name="Suma 6 2 2" xfId="13596" xr:uid="{00000000-0005-0000-0000-000012360000}"/>
    <cellStyle name="Suma 6 2 3" xfId="13597" xr:uid="{00000000-0005-0000-0000-000013360000}"/>
    <cellStyle name="Suma 6 3" xfId="13598" xr:uid="{00000000-0005-0000-0000-000014360000}"/>
    <cellStyle name="Suma 6 4" xfId="13599" xr:uid="{00000000-0005-0000-0000-000015360000}"/>
    <cellStyle name="Suma 7" xfId="13600" xr:uid="{00000000-0005-0000-0000-000016360000}"/>
    <cellStyle name="Suma 7 2" xfId="13601" xr:uid="{00000000-0005-0000-0000-000017360000}"/>
    <cellStyle name="Suma 7 2 2" xfId="13602" xr:uid="{00000000-0005-0000-0000-000018360000}"/>
    <cellStyle name="Suma 7 2 3" xfId="13603" xr:uid="{00000000-0005-0000-0000-000019360000}"/>
    <cellStyle name="Suma 7 3" xfId="13604" xr:uid="{00000000-0005-0000-0000-00001A360000}"/>
    <cellStyle name="Suma 7 4" xfId="13605" xr:uid="{00000000-0005-0000-0000-00001B360000}"/>
    <cellStyle name="Suma 8" xfId="13606" xr:uid="{00000000-0005-0000-0000-00001C360000}"/>
    <cellStyle name="Suma 8 2" xfId="13607" xr:uid="{00000000-0005-0000-0000-00001D360000}"/>
    <cellStyle name="Suma 8 2 2" xfId="13608" xr:uid="{00000000-0005-0000-0000-00001E360000}"/>
    <cellStyle name="Suma 8 2 3" xfId="13609" xr:uid="{00000000-0005-0000-0000-00001F360000}"/>
    <cellStyle name="Suma 8 3" xfId="13610" xr:uid="{00000000-0005-0000-0000-000020360000}"/>
    <cellStyle name="Suma 8 4" xfId="13611" xr:uid="{00000000-0005-0000-0000-000021360000}"/>
    <cellStyle name="Suma 9" xfId="13612" xr:uid="{00000000-0005-0000-0000-000022360000}"/>
    <cellStyle name="Suma 9 2" xfId="13613" xr:uid="{00000000-0005-0000-0000-000023360000}"/>
    <cellStyle name="Suma 9 2 2" xfId="13614" xr:uid="{00000000-0005-0000-0000-000024360000}"/>
    <cellStyle name="Suma 9 2 3" xfId="13615" xr:uid="{00000000-0005-0000-0000-000025360000}"/>
    <cellStyle name="Suma 9 3" xfId="13616" xr:uid="{00000000-0005-0000-0000-000026360000}"/>
    <cellStyle name="Suma 9 4" xfId="13617" xr:uid="{00000000-0005-0000-0000-000027360000}"/>
    <cellStyle name="Suma_PGM_CHECK" xfId="14705" xr:uid="{00000000-0005-0000-0000-000028360000}"/>
    <cellStyle name="Summa" xfId="13618" xr:uid="{00000000-0005-0000-0000-000029360000}"/>
    <cellStyle name="Summa 10" xfId="13619" xr:uid="{00000000-0005-0000-0000-00002A360000}"/>
    <cellStyle name="Summa 10 2" xfId="13620" xr:uid="{00000000-0005-0000-0000-00002B360000}"/>
    <cellStyle name="Summa 10 2 2" xfId="13621" xr:uid="{00000000-0005-0000-0000-00002C360000}"/>
    <cellStyle name="Summa 10 2 3" xfId="13622" xr:uid="{00000000-0005-0000-0000-00002D360000}"/>
    <cellStyle name="Summa 10 3" xfId="13623" xr:uid="{00000000-0005-0000-0000-00002E360000}"/>
    <cellStyle name="Summa 10 4" xfId="13624" xr:uid="{00000000-0005-0000-0000-00002F360000}"/>
    <cellStyle name="Summa 11" xfId="13625" xr:uid="{00000000-0005-0000-0000-000030360000}"/>
    <cellStyle name="Summa 11 2" xfId="13626" xr:uid="{00000000-0005-0000-0000-000031360000}"/>
    <cellStyle name="Summa 11 2 2" xfId="13627" xr:uid="{00000000-0005-0000-0000-000032360000}"/>
    <cellStyle name="Summa 11 2 3" xfId="13628" xr:uid="{00000000-0005-0000-0000-000033360000}"/>
    <cellStyle name="Summa 11 3" xfId="13629" xr:uid="{00000000-0005-0000-0000-000034360000}"/>
    <cellStyle name="Summa 11 4" xfId="13630" xr:uid="{00000000-0005-0000-0000-000035360000}"/>
    <cellStyle name="Summa 12" xfId="13631" xr:uid="{00000000-0005-0000-0000-000036360000}"/>
    <cellStyle name="Summa 12 2" xfId="13632" xr:uid="{00000000-0005-0000-0000-000037360000}"/>
    <cellStyle name="Summa 12 2 2" xfId="13633" xr:uid="{00000000-0005-0000-0000-000038360000}"/>
    <cellStyle name="Summa 12 2 3" xfId="13634" xr:uid="{00000000-0005-0000-0000-000039360000}"/>
    <cellStyle name="Summa 12 3" xfId="13635" xr:uid="{00000000-0005-0000-0000-00003A360000}"/>
    <cellStyle name="Summa 12 4" xfId="13636" xr:uid="{00000000-0005-0000-0000-00003B360000}"/>
    <cellStyle name="Summa 13" xfId="13637" xr:uid="{00000000-0005-0000-0000-00003C360000}"/>
    <cellStyle name="Summa 13 2" xfId="13638" xr:uid="{00000000-0005-0000-0000-00003D360000}"/>
    <cellStyle name="Summa 13 2 2" xfId="13639" xr:uid="{00000000-0005-0000-0000-00003E360000}"/>
    <cellStyle name="Summa 13 2 3" xfId="13640" xr:uid="{00000000-0005-0000-0000-00003F360000}"/>
    <cellStyle name="Summa 13 3" xfId="13641" xr:uid="{00000000-0005-0000-0000-000040360000}"/>
    <cellStyle name="Summa 13 4" xfId="13642" xr:uid="{00000000-0005-0000-0000-000041360000}"/>
    <cellStyle name="Summa 14" xfId="13643" xr:uid="{00000000-0005-0000-0000-000042360000}"/>
    <cellStyle name="Summa 14 2" xfId="13644" xr:uid="{00000000-0005-0000-0000-000043360000}"/>
    <cellStyle name="Summa 14 2 2" xfId="13645" xr:uid="{00000000-0005-0000-0000-000044360000}"/>
    <cellStyle name="Summa 14 2 3" xfId="13646" xr:uid="{00000000-0005-0000-0000-000045360000}"/>
    <cellStyle name="Summa 14 3" xfId="13647" xr:uid="{00000000-0005-0000-0000-000046360000}"/>
    <cellStyle name="Summa 14 4" xfId="13648" xr:uid="{00000000-0005-0000-0000-000047360000}"/>
    <cellStyle name="Summa 15" xfId="13649" xr:uid="{00000000-0005-0000-0000-000048360000}"/>
    <cellStyle name="Summa 15 2" xfId="13650" xr:uid="{00000000-0005-0000-0000-000049360000}"/>
    <cellStyle name="Summa 15 2 2" xfId="13651" xr:uid="{00000000-0005-0000-0000-00004A360000}"/>
    <cellStyle name="Summa 15 2 3" xfId="13652" xr:uid="{00000000-0005-0000-0000-00004B360000}"/>
    <cellStyle name="Summa 15 3" xfId="13653" xr:uid="{00000000-0005-0000-0000-00004C360000}"/>
    <cellStyle name="Summa 15 4" xfId="13654" xr:uid="{00000000-0005-0000-0000-00004D360000}"/>
    <cellStyle name="Summa 16" xfId="13655" xr:uid="{00000000-0005-0000-0000-00004E360000}"/>
    <cellStyle name="Summa 16 2" xfId="13656" xr:uid="{00000000-0005-0000-0000-00004F360000}"/>
    <cellStyle name="Summa 16 2 2" xfId="13657" xr:uid="{00000000-0005-0000-0000-000050360000}"/>
    <cellStyle name="Summa 16 2 3" xfId="13658" xr:uid="{00000000-0005-0000-0000-000051360000}"/>
    <cellStyle name="Summa 16 3" xfId="13659" xr:uid="{00000000-0005-0000-0000-000052360000}"/>
    <cellStyle name="Summa 16 4" xfId="13660" xr:uid="{00000000-0005-0000-0000-000053360000}"/>
    <cellStyle name="Summa 17" xfId="13661" xr:uid="{00000000-0005-0000-0000-000054360000}"/>
    <cellStyle name="Summa 17 2" xfId="13662" xr:uid="{00000000-0005-0000-0000-000055360000}"/>
    <cellStyle name="Summa 17 2 2" xfId="13663" xr:uid="{00000000-0005-0000-0000-000056360000}"/>
    <cellStyle name="Summa 17 2 3" xfId="13664" xr:uid="{00000000-0005-0000-0000-000057360000}"/>
    <cellStyle name="Summa 17 3" xfId="13665" xr:uid="{00000000-0005-0000-0000-000058360000}"/>
    <cellStyle name="Summa 17 4" xfId="13666" xr:uid="{00000000-0005-0000-0000-000059360000}"/>
    <cellStyle name="Summa 18" xfId="13667" xr:uid="{00000000-0005-0000-0000-00005A360000}"/>
    <cellStyle name="Summa 18 2" xfId="13668" xr:uid="{00000000-0005-0000-0000-00005B360000}"/>
    <cellStyle name="Summa 18 3" xfId="13669" xr:uid="{00000000-0005-0000-0000-00005C360000}"/>
    <cellStyle name="Summa 19" xfId="13670" xr:uid="{00000000-0005-0000-0000-00005D360000}"/>
    <cellStyle name="Summa 2" xfId="13671" xr:uid="{00000000-0005-0000-0000-00005E360000}"/>
    <cellStyle name="Summa 2 2" xfId="13672" xr:uid="{00000000-0005-0000-0000-00005F360000}"/>
    <cellStyle name="Summa 2 2 2" xfId="13673" xr:uid="{00000000-0005-0000-0000-000060360000}"/>
    <cellStyle name="Summa 2 2 3" xfId="13674" xr:uid="{00000000-0005-0000-0000-000061360000}"/>
    <cellStyle name="Summa 2 3" xfId="13675" xr:uid="{00000000-0005-0000-0000-000062360000}"/>
    <cellStyle name="Summa 2 4" xfId="13676" xr:uid="{00000000-0005-0000-0000-000063360000}"/>
    <cellStyle name="Summa 20" xfId="13677" xr:uid="{00000000-0005-0000-0000-000064360000}"/>
    <cellStyle name="Summa 21" xfId="13678" xr:uid="{00000000-0005-0000-0000-000065360000}"/>
    <cellStyle name="Summa 22" xfId="13679" xr:uid="{00000000-0005-0000-0000-000066360000}"/>
    <cellStyle name="Summa 3" xfId="13680" xr:uid="{00000000-0005-0000-0000-000067360000}"/>
    <cellStyle name="Summa 3 2" xfId="13681" xr:uid="{00000000-0005-0000-0000-000068360000}"/>
    <cellStyle name="Summa 3 2 2" xfId="13682" xr:uid="{00000000-0005-0000-0000-000069360000}"/>
    <cellStyle name="Summa 3 2 3" xfId="13683" xr:uid="{00000000-0005-0000-0000-00006A360000}"/>
    <cellStyle name="Summa 3 3" xfId="13684" xr:uid="{00000000-0005-0000-0000-00006B360000}"/>
    <cellStyle name="Summa 3 4" xfId="13685" xr:uid="{00000000-0005-0000-0000-00006C360000}"/>
    <cellStyle name="Summa 4" xfId="13686" xr:uid="{00000000-0005-0000-0000-00006D360000}"/>
    <cellStyle name="Summa 4 2" xfId="13687" xr:uid="{00000000-0005-0000-0000-00006E360000}"/>
    <cellStyle name="Summa 4 2 2" xfId="13688" xr:uid="{00000000-0005-0000-0000-00006F360000}"/>
    <cellStyle name="Summa 4 2 3" xfId="13689" xr:uid="{00000000-0005-0000-0000-000070360000}"/>
    <cellStyle name="Summa 4 3" xfId="13690" xr:uid="{00000000-0005-0000-0000-000071360000}"/>
    <cellStyle name="Summa 4 4" xfId="13691" xr:uid="{00000000-0005-0000-0000-000072360000}"/>
    <cellStyle name="Summa 5" xfId="13692" xr:uid="{00000000-0005-0000-0000-000073360000}"/>
    <cellStyle name="Summa 5 2" xfId="13693" xr:uid="{00000000-0005-0000-0000-000074360000}"/>
    <cellStyle name="Summa 5 2 2" xfId="13694" xr:uid="{00000000-0005-0000-0000-000075360000}"/>
    <cellStyle name="Summa 5 2 3" xfId="13695" xr:uid="{00000000-0005-0000-0000-000076360000}"/>
    <cellStyle name="Summa 5 3" xfId="13696" xr:uid="{00000000-0005-0000-0000-000077360000}"/>
    <cellStyle name="Summa 5 4" xfId="13697" xr:uid="{00000000-0005-0000-0000-000078360000}"/>
    <cellStyle name="Summa 6" xfId="13698" xr:uid="{00000000-0005-0000-0000-000079360000}"/>
    <cellStyle name="Summa 6 2" xfId="13699" xr:uid="{00000000-0005-0000-0000-00007A360000}"/>
    <cellStyle name="Summa 6 2 2" xfId="13700" xr:uid="{00000000-0005-0000-0000-00007B360000}"/>
    <cellStyle name="Summa 6 2 3" xfId="13701" xr:uid="{00000000-0005-0000-0000-00007C360000}"/>
    <cellStyle name="Summa 6 3" xfId="13702" xr:uid="{00000000-0005-0000-0000-00007D360000}"/>
    <cellStyle name="Summa 6 4" xfId="13703" xr:uid="{00000000-0005-0000-0000-00007E360000}"/>
    <cellStyle name="Summa 7" xfId="13704" xr:uid="{00000000-0005-0000-0000-00007F360000}"/>
    <cellStyle name="Summa 7 2" xfId="13705" xr:uid="{00000000-0005-0000-0000-000080360000}"/>
    <cellStyle name="Summa 7 2 2" xfId="13706" xr:uid="{00000000-0005-0000-0000-000081360000}"/>
    <cellStyle name="Summa 7 2 3" xfId="13707" xr:uid="{00000000-0005-0000-0000-000082360000}"/>
    <cellStyle name="Summa 7 3" xfId="13708" xr:uid="{00000000-0005-0000-0000-000083360000}"/>
    <cellStyle name="Summa 7 4" xfId="13709" xr:uid="{00000000-0005-0000-0000-000084360000}"/>
    <cellStyle name="Summa 8" xfId="13710" xr:uid="{00000000-0005-0000-0000-000085360000}"/>
    <cellStyle name="Summa 8 2" xfId="13711" xr:uid="{00000000-0005-0000-0000-000086360000}"/>
    <cellStyle name="Summa 8 2 2" xfId="13712" xr:uid="{00000000-0005-0000-0000-000087360000}"/>
    <cellStyle name="Summa 8 2 3" xfId="13713" xr:uid="{00000000-0005-0000-0000-000088360000}"/>
    <cellStyle name="Summa 8 3" xfId="13714" xr:uid="{00000000-0005-0000-0000-000089360000}"/>
    <cellStyle name="Summa 8 4" xfId="13715" xr:uid="{00000000-0005-0000-0000-00008A360000}"/>
    <cellStyle name="Summa 9" xfId="13716" xr:uid="{00000000-0005-0000-0000-00008B360000}"/>
    <cellStyle name="Summa 9 2" xfId="13717" xr:uid="{00000000-0005-0000-0000-00008C360000}"/>
    <cellStyle name="Summa 9 2 2" xfId="13718" xr:uid="{00000000-0005-0000-0000-00008D360000}"/>
    <cellStyle name="Summa 9 2 3" xfId="13719" xr:uid="{00000000-0005-0000-0000-00008E360000}"/>
    <cellStyle name="Summa 9 3" xfId="13720" xr:uid="{00000000-0005-0000-0000-00008F360000}"/>
    <cellStyle name="Summa 9 4" xfId="13721" xr:uid="{00000000-0005-0000-0000-000090360000}"/>
    <cellStyle name="Summa_PGM_CHECK" xfId="14884" xr:uid="{00000000-0005-0000-0000-000091360000}"/>
    <cellStyle name="Susietas langelis" xfId="13722" xr:uid="{00000000-0005-0000-0000-000092360000}"/>
    <cellStyle name="Switch" xfId="13723" xr:uid="{00000000-0005-0000-0000-000093360000}"/>
    <cellStyle name="Syöttö" xfId="13724" xr:uid="{00000000-0005-0000-0000-000094360000}"/>
    <cellStyle name="Syöttö 10" xfId="13725" xr:uid="{00000000-0005-0000-0000-000095360000}"/>
    <cellStyle name="Syöttö 10 2" xfId="13726" xr:uid="{00000000-0005-0000-0000-000096360000}"/>
    <cellStyle name="Syöttö 10 2 2" xfId="13727" xr:uid="{00000000-0005-0000-0000-000097360000}"/>
    <cellStyle name="Syöttö 10 2 3" xfId="13728" xr:uid="{00000000-0005-0000-0000-000098360000}"/>
    <cellStyle name="Syöttö 10 3" xfId="13729" xr:uid="{00000000-0005-0000-0000-000099360000}"/>
    <cellStyle name="Syöttö 10 4" xfId="13730" xr:uid="{00000000-0005-0000-0000-00009A360000}"/>
    <cellStyle name="Syöttö 11" xfId="13731" xr:uid="{00000000-0005-0000-0000-00009B360000}"/>
    <cellStyle name="Syöttö 11 2" xfId="13732" xr:uid="{00000000-0005-0000-0000-00009C360000}"/>
    <cellStyle name="Syöttö 11 2 2" xfId="13733" xr:uid="{00000000-0005-0000-0000-00009D360000}"/>
    <cellStyle name="Syöttö 11 2 3" xfId="13734" xr:uid="{00000000-0005-0000-0000-00009E360000}"/>
    <cellStyle name="Syöttö 11 3" xfId="13735" xr:uid="{00000000-0005-0000-0000-00009F360000}"/>
    <cellStyle name="Syöttö 11 4" xfId="13736" xr:uid="{00000000-0005-0000-0000-0000A0360000}"/>
    <cellStyle name="Syöttö 12" xfId="13737" xr:uid="{00000000-0005-0000-0000-0000A1360000}"/>
    <cellStyle name="Syöttö 12 2" xfId="13738" xr:uid="{00000000-0005-0000-0000-0000A2360000}"/>
    <cellStyle name="Syöttö 12 2 2" xfId="13739" xr:uid="{00000000-0005-0000-0000-0000A3360000}"/>
    <cellStyle name="Syöttö 12 2 3" xfId="13740" xr:uid="{00000000-0005-0000-0000-0000A4360000}"/>
    <cellStyle name="Syöttö 12 3" xfId="13741" xr:uid="{00000000-0005-0000-0000-0000A5360000}"/>
    <cellStyle name="Syöttö 12 4" xfId="13742" xr:uid="{00000000-0005-0000-0000-0000A6360000}"/>
    <cellStyle name="Syöttö 13" xfId="13743" xr:uid="{00000000-0005-0000-0000-0000A7360000}"/>
    <cellStyle name="Syöttö 13 2" xfId="13744" xr:uid="{00000000-0005-0000-0000-0000A8360000}"/>
    <cellStyle name="Syöttö 13 2 2" xfId="13745" xr:uid="{00000000-0005-0000-0000-0000A9360000}"/>
    <cellStyle name="Syöttö 13 2 3" xfId="13746" xr:uid="{00000000-0005-0000-0000-0000AA360000}"/>
    <cellStyle name="Syöttö 13 3" xfId="13747" xr:uid="{00000000-0005-0000-0000-0000AB360000}"/>
    <cellStyle name="Syöttö 13 4" xfId="13748" xr:uid="{00000000-0005-0000-0000-0000AC360000}"/>
    <cellStyle name="Syöttö 14" xfId="13749" xr:uid="{00000000-0005-0000-0000-0000AD360000}"/>
    <cellStyle name="Syöttö 14 2" xfId="13750" xr:uid="{00000000-0005-0000-0000-0000AE360000}"/>
    <cellStyle name="Syöttö 14 2 2" xfId="13751" xr:uid="{00000000-0005-0000-0000-0000AF360000}"/>
    <cellStyle name="Syöttö 14 2 3" xfId="13752" xr:uid="{00000000-0005-0000-0000-0000B0360000}"/>
    <cellStyle name="Syöttö 14 3" xfId="13753" xr:uid="{00000000-0005-0000-0000-0000B1360000}"/>
    <cellStyle name="Syöttö 14 4" xfId="13754" xr:uid="{00000000-0005-0000-0000-0000B2360000}"/>
    <cellStyle name="Syöttö 15" xfId="13755" xr:uid="{00000000-0005-0000-0000-0000B3360000}"/>
    <cellStyle name="Syöttö 15 2" xfId="13756" xr:uid="{00000000-0005-0000-0000-0000B4360000}"/>
    <cellStyle name="Syöttö 15 2 2" xfId="13757" xr:uid="{00000000-0005-0000-0000-0000B5360000}"/>
    <cellStyle name="Syöttö 15 2 3" xfId="13758" xr:uid="{00000000-0005-0000-0000-0000B6360000}"/>
    <cellStyle name="Syöttö 15 3" xfId="13759" xr:uid="{00000000-0005-0000-0000-0000B7360000}"/>
    <cellStyle name="Syöttö 15 4" xfId="13760" xr:uid="{00000000-0005-0000-0000-0000B8360000}"/>
    <cellStyle name="Syöttö 16" xfId="13761" xr:uid="{00000000-0005-0000-0000-0000B9360000}"/>
    <cellStyle name="Syöttö 16 2" xfId="13762" xr:uid="{00000000-0005-0000-0000-0000BA360000}"/>
    <cellStyle name="Syöttö 16 2 2" xfId="13763" xr:uid="{00000000-0005-0000-0000-0000BB360000}"/>
    <cellStyle name="Syöttö 16 2 3" xfId="13764" xr:uid="{00000000-0005-0000-0000-0000BC360000}"/>
    <cellStyle name="Syöttö 16 3" xfId="13765" xr:uid="{00000000-0005-0000-0000-0000BD360000}"/>
    <cellStyle name="Syöttö 16 4" xfId="13766" xr:uid="{00000000-0005-0000-0000-0000BE360000}"/>
    <cellStyle name="Syöttö 17" xfId="13767" xr:uid="{00000000-0005-0000-0000-0000BF360000}"/>
    <cellStyle name="Syöttö 17 2" xfId="13768" xr:uid="{00000000-0005-0000-0000-0000C0360000}"/>
    <cellStyle name="Syöttö 17 2 2" xfId="13769" xr:uid="{00000000-0005-0000-0000-0000C1360000}"/>
    <cellStyle name="Syöttö 17 2 3" xfId="13770" xr:uid="{00000000-0005-0000-0000-0000C2360000}"/>
    <cellStyle name="Syöttö 17 3" xfId="13771" xr:uid="{00000000-0005-0000-0000-0000C3360000}"/>
    <cellStyle name="Syöttö 17 4" xfId="13772" xr:uid="{00000000-0005-0000-0000-0000C4360000}"/>
    <cellStyle name="Syöttö 18" xfId="13773" xr:uid="{00000000-0005-0000-0000-0000C5360000}"/>
    <cellStyle name="Syöttö 18 2" xfId="13774" xr:uid="{00000000-0005-0000-0000-0000C6360000}"/>
    <cellStyle name="Syöttö 18 2 2" xfId="13775" xr:uid="{00000000-0005-0000-0000-0000C7360000}"/>
    <cellStyle name="Syöttö 18 2 3" xfId="13776" xr:uid="{00000000-0005-0000-0000-0000C8360000}"/>
    <cellStyle name="Syöttö 18 3" xfId="13777" xr:uid="{00000000-0005-0000-0000-0000C9360000}"/>
    <cellStyle name="Syöttö 18 4" xfId="13778" xr:uid="{00000000-0005-0000-0000-0000CA360000}"/>
    <cellStyle name="Syöttö 19" xfId="13779" xr:uid="{00000000-0005-0000-0000-0000CB360000}"/>
    <cellStyle name="Syöttö 19 2" xfId="13780" xr:uid="{00000000-0005-0000-0000-0000CC360000}"/>
    <cellStyle name="Syöttö 19 3" xfId="13781" xr:uid="{00000000-0005-0000-0000-0000CD360000}"/>
    <cellStyle name="Syöttö 2" xfId="13782" xr:uid="{00000000-0005-0000-0000-0000CE360000}"/>
    <cellStyle name="Syöttö 2 2" xfId="13783" xr:uid="{00000000-0005-0000-0000-0000CF360000}"/>
    <cellStyle name="Syöttö 2 2 2" xfId="13784" xr:uid="{00000000-0005-0000-0000-0000D0360000}"/>
    <cellStyle name="Syöttö 2 2 3" xfId="13785" xr:uid="{00000000-0005-0000-0000-0000D1360000}"/>
    <cellStyle name="Syöttö 2 3" xfId="13786" xr:uid="{00000000-0005-0000-0000-0000D2360000}"/>
    <cellStyle name="Syöttö 2 4" xfId="13787" xr:uid="{00000000-0005-0000-0000-0000D3360000}"/>
    <cellStyle name="Syöttö 20" xfId="13788" xr:uid="{00000000-0005-0000-0000-0000D4360000}"/>
    <cellStyle name="Syöttö 21" xfId="13789" xr:uid="{00000000-0005-0000-0000-0000D5360000}"/>
    <cellStyle name="Syöttö 22" xfId="13790" xr:uid="{00000000-0005-0000-0000-0000D6360000}"/>
    <cellStyle name="Syöttö 23" xfId="13791" xr:uid="{00000000-0005-0000-0000-0000D7360000}"/>
    <cellStyle name="Syöttö 3" xfId="13792" xr:uid="{00000000-0005-0000-0000-0000D8360000}"/>
    <cellStyle name="Syöttö 3 2" xfId="13793" xr:uid="{00000000-0005-0000-0000-0000D9360000}"/>
    <cellStyle name="Syöttö 3 2 2" xfId="13794" xr:uid="{00000000-0005-0000-0000-0000DA360000}"/>
    <cellStyle name="Syöttö 3 2 3" xfId="13795" xr:uid="{00000000-0005-0000-0000-0000DB360000}"/>
    <cellStyle name="Syöttö 3 3" xfId="13796" xr:uid="{00000000-0005-0000-0000-0000DC360000}"/>
    <cellStyle name="Syöttö 3 4" xfId="13797" xr:uid="{00000000-0005-0000-0000-0000DD360000}"/>
    <cellStyle name="Syöttö 4" xfId="13798" xr:uid="{00000000-0005-0000-0000-0000DE360000}"/>
    <cellStyle name="Syöttö 4 2" xfId="13799" xr:uid="{00000000-0005-0000-0000-0000DF360000}"/>
    <cellStyle name="Syöttö 4 2 2" xfId="13800" xr:uid="{00000000-0005-0000-0000-0000E0360000}"/>
    <cellStyle name="Syöttö 4 2 3" xfId="13801" xr:uid="{00000000-0005-0000-0000-0000E1360000}"/>
    <cellStyle name="Syöttö 4 3" xfId="13802" xr:uid="{00000000-0005-0000-0000-0000E2360000}"/>
    <cellStyle name="Syöttö 4 4" xfId="13803" xr:uid="{00000000-0005-0000-0000-0000E3360000}"/>
    <cellStyle name="Syöttö 5" xfId="13804" xr:uid="{00000000-0005-0000-0000-0000E4360000}"/>
    <cellStyle name="Syöttö 5 2" xfId="13805" xr:uid="{00000000-0005-0000-0000-0000E5360000}"/>
    <cellStyle name="Syöttö 5 2 2" xfId="13806" xr:uid="{00000000-0005-0000-0000-0000E6360000}"/>
    <cellStyle name="Syöttö 5 2 3" xfId="13807" xr:uid="{00000000-0005-0000-0000-0000E7360000}"/>
    <cellStyle name="Syöttö 5 3" xfId="13808" xr:uid="{00000000-0005-0000-0000-0000E8360000}"/>
    <cellStyle name="Syöttö 5 4" xfId="13809" xr:uid="{00000000-0005-0000-0000-0000E9360000}"/>
    <cellStyle name="Syöttö 6" xfId="13810" xr:uid="{00000000-0005-0000-0000-0000EA360000}"/>
    <cellStyle name="Syöttö 6 2" xfId="13811" xr:uid="{00000000-0005-0000-0000-0000EB360000}"/>
    <cellStyle name="Syöttö 6 2 2" xfId="13812" xr:uid="{00000000-0005-0000-0000-0000EC360000}"/>
    <cellStyle name="Syöttö 6 2 3" xfId="13813" xr:uid="{00000000-0005-0000-0000-0000ED360000}"/>
    <cellStyle name="Syöttö 6 3" xfId="13814" xr:uid="{00000000-0005-0000-0000-0000EE360000}"/>
    <cellStyle name="Syöttö 6 4" xfId="13815" xr:uid="{00000000-0005-0000-0000-0000EF360000}"/>
    <cellStyle name="Syöttö 7" xfId="13816" xr:uid="{00000000-0005-0000-0000-0000F0360000}"/>
    <cellStyle name="Syöttö 7 2" xfId="13817" xr:uid="{00000000-0005-0000-0000-0000F1360000}"/>
    <cellStyle name="Syöttö 7 2 2" xfId="13818" xr:uid="{00000000-0005-0000-0000-0000F2360000}"/>
    <cellStyle name="Syöttö 7 2 3" xfId="13819" xr:uid="{00000000-0005-0000-0000-0000F3360000}"/>
    <cellStyle name="Syöttö 7 3" xfId="13820" xr:uid="{00000000-0005-0000-0000-0000F4360000}"/>
    <cellStyle name="Syöttö 7 4" xfId="13821" xr:uid="{00000000-0005-0000-0000-0000F5360000}"/>
    <cellStyle name="Syöttö 8" xfId="13822" xr:uid="{00000000-0005-0000-0000-0000F6360000}"/>
    <cellStyle name="Syöttö 8 2" xfId="13823" xr:uid="{00000000-0005-0000-0000-0000F7360000}"/>
    <cellStyle name="Syöttö 8 2 2" xfId="13824" xr:uid="{00000000-0005-0000-0000-0000F8360000}"/>
    <cellStyle name="Syöttö 8 2 3" xfId="13825" xr:uid="{00000000-0005-0000-0000-0000F9360000}"/>
    <cellStyle name="Syöttö 8 3" xfId="13826" xr:uid="{00000000-0005-0000-0000-0000FA360000}"/>
    <cellStyle name="Syöttö 8 4" xfId="13827" xr:uid="{00000000-0005-0000-0000-0000FB360000}"/>
    <cellStyle name="Syöttö 9" xfId="13828" xr:uid="{00000000-0005-0000-0000-0000FC360000}"/>
    <cellStyle name="Syöttö 9 2" xfId="13829" xr:uid="{00000000-0005-0000-0000-0000FD360000}"/>
    <cellStyle name="Syöttö 9 2 2" xfId="13830" xr:uid="{00000000-0005-0000-0000-0000FE360000}"/>
    <cellStyle name="Syöttö 9 2 3" xfId="13831" xr:uid="{00000000-0005-0000-0000-0000FF360000}"/>
    <cellStyle name="Syöttö 9 3" xfId="13832" xr:uid="{00000000-0005-0000-0000-000000370000}"/>
    <cellStyle name="Syöttö 9 4" xfId="13833" xr:uid="{00000000-0005-0000-0000-000001370000}"/>
    <cellStyle name="Syöttö_PGM_CHECK" xfId="14902" xr:uid="{00000000-0005-0000-0000-000002370000}"/>
    <cellStyle name="Számítás 2" xfId="13834" xr:uid="{00000000-0005-0000-0000-000003370000}"/>
    <cellStyle name="Számítás 2 2" xfId="13835" xr:uid="{00000000-0005-0000-0000-000004370000}"/>
    <cellStyle name="Számítás 2 3" xfId="13836" xr:uid="{00000000-0005-0000-0000-000005370000}"/>
    <cellStyle name="Százalék 2" xfId="13837" xr:uid="{00000000-0005-0000-0000-000006370000}"/>
    <cellStyle name="Százalék 3" xfId="13838" xr:uid="{00000000-0005-0000-0000-000007370000}"/>
    <cellStyle name="Table Col Head" xfId="13839" xr:uid="{00000000-0005-0000-0000-000008370000}"/>
    <cellStyle name="Table Head" xfId="13840" xr:uid="{00000000-0005-0000-0000-000009370000}"/>
    <cellStyle name="Table Head Aligned" xfId="13841" xr:uid="{00000000-0005-0000-0000-00000A370000}"/>
    <cellStyle name="Table Head Blue" xfId="13842" xr:uid="{00000000-0005-0000-0000-00000B370000}"/>
    <cellStyle name="Table Head Green" xfId="13843" xr:uid="{00000000-0005-0000-0000-00000C370000}"/>
    <cellStyle name="Table Sub Head" xfId="13844" xr:uid="{00000000-0005-0000-0000-00000D370000}"/>
    <cellStyle name="Table Title" xfId="13845" xr:uid="{00000000-0005-0000-0000-00000E370000}"/>
    <cellStyle name="Table Units" xfId="13846" xr:uid="{00000000-0005-0000-0000-00000F370000}"/>
    <cellStyle name="Tableau_corps_euro" xfId="14905" xr:uid="{00000000-0005-0000-0000-000010370000}"/>
    <cellStyle name="TableBorder" xfId="13847" xr:uid="{00000000-0005-0000-0000-000011370000}"/>
    <cellStyle name="Tarkistussolu" xfId="13848" xr:uid="{00000000-0005-0000-0000-000012370000}"/>
    <cellStyle name="Tekst objaśnienia" xfId="13849" xr:uid="{00000000-0005-0000-0000-000013370000}"/>
    <cellStyle name="Tekst objaśnienia 2" xfId="13850" xr:uid="{00000000-0005-0000-0000-000014370000}"/>
    <cellStyle name="Tekst ostrzeżenia" xfId="13851" xr:uid="{00000000-0005-0000-0000-000015370000}"/>
    <cellStyle name="Tekst ostrzeżenia 2" xfId="13852" xr:uid="{00000000-0005-0000-0000-000016370000}"/>
    <cellStyle name="Testo avviso 2" xfId="13853" xr:uid="{00000000-0005-0000-0000-000017370000}"/>
    <cellStyle name="Testo avviso 3" xfId="13854" xr:uid="{00000000-0005-0000-0000-000018370000}"/>
    <cellStyle name="Testo descrittivo 2" xfId="13855" xr:uid="{00000000-0005-0000-0000-000019370000}"/>
    <cellStyle name="Testo descrittivo 3" xfId="13856" xr:uid="{00000000-0005-0000-0000-00001A370000}"/>
    <cellStyle name="Text" xfId="13857" xr:uid="{00000000-0005-0000-0000-00001B370000}"/>
    <cellStyle name="Text upozornění" xfId="13858" xr:uid="{00000000-0005-0000-0000-00001C370000}"/>
    <cellStyle name="texte" xfId="13859" xr:uid="{00000000-0005-0000-0000-00001D370000}"/>
    <cellStyle name="Texte explicatif 2" xfId="13860" xr:uid="{00000000-0005-0000-0000-00001E370000}"/>
    <cellStyle name="Texte explicatif 2 2" xfId="13861" xr:uid="{00000000-0005-0000-0000-00001F370000}"/>
    <cellStyle name="Texte explicatif 3" xfId="13862" xr:uid="{00000000-0005-0000-0000-000020370000}"/>
    <cellStyle name="Texte explicatif 3 2" xfId="13863" xr:uid="{00000000-0005-0000-0000-000021370000}"/>
    <cellStyle name="Texte explicatif 4" xfId="13864" xr:uid="{00000000-0005-0000-0000-000022370000}"/>
    <cellStyle name="Texte explicatif 4 2" xfId="13865" xr:uid="{00000000-0005-0000-0000-000023370000}"/>
    <cellStyle name="Texte explicatif 5" xfId="13866" xr:uid="{00000000-0005-0000-0000-000024370000}"/>
    <cellStyle name="Texto de advertencia" xfId="13867" xr:uid="{00000000-0005-0000-0000-000025370000}"/>
    <cellStyle name="Texto explicativo" xfId="13868" xr:uid="{00000000-0005-0000-0000-000026370000}"/>
    <cellStyle name="Thousands" xfId="13869" xr:uid="{00000000-0005-0000-0000-000027370000}"/>
    <cellStyle name="Tikrinimo langelis" xfId="13870" xr:uid="{00000000-0005-0000-0000-000028370000}"/>
    <cellStyle name="TimeReport" xfId="13871" xr:uid="{00000000-0005-0000-0000-000029370000}"/>
    <cellStyle name="Titel" xfId="13872" xr:uid="{00000000-0005-0000-0000-00002A370000}"/>
    <cellStyle name="Title" xfId="14656" xr:uid="{00000000-0005-0000-0000-00002B370000}"/>
    <cellStyle name="Title 1" xfId="13873" xr:uid="{00000000-0005-0000-0000-00002C370000}"/>
    <cellStyle name="Title 2" xfId="13874" xr:uid="{00000000-0005-0000-0000-00002D370000}"/>
    <cellStyle name="Title 3" xfId="13875" xr:uid="{00000000-0005-0000-0000-00002E370000}"/>
    <cellStyle name="Title 4" xfId="13876" xr:uid="{00000000-0005-0000-0000-00002F370000}"/>
    <cellStyle name="Title 5" xfId="13877" xr:uid="{00000000-0005-0000-0000-000030370000}"/>
    <cellStyle name="Titolo 1 2" xfId="13878" xr:uid="{00000000-0005-0000-0000-000031370000}"/>
    <cellStyle name="Titolo 1 3" xfId="13879" xr:uid="{00000000-0005-0000-0000-000032370000}"/>
    <cellStyle name="Titolo 2 2" xfId="13880" xr:uid="{00000000-0005-0000-0000-000033370000}"/>
    <cellStyle name="Titolo 2 3" xfId="13881" xr:uid="{00000000-0005-0000-0000-000034370000}"/>
    <cellStyle name="Titolo 3 2" xfId="13882" xr:uid="{00000000-0005-0000-0000-000035370000}"/>
    <cellStyle name="Titolo 3 3" xfId="13883" xr:uid="{00000000-0005-0000-0000-000036370000}"/>
    <cellStyle name="Titolo 4 2" xfId="13884" xr:uid="{00000000-0005-0000-0000-000037370000}"/>
    <cellStyle name="Titolo 4 3" xfId="13885" xr:uid="{00000000-0005-0000-0000-000038370000}"/>
    <cellStyle name="Titolo 5" xfId="13886" xr:uid="{00000000-0005-0000-0000-000039370000}"/>
    <cellStyle name="Titolo 6" xfId="13887" xr:uid="{00000000-0005-0000-0000-00003A370000}"/>
    <cellStyle name="Titre 1" xfId="13888" xr:uid="{00000000-0005-0000-0000-00003B370000}"/>
    <cellStyle name="Titre 1 1" xfId="13889" xr:uid="{00000000-0005-0000-0000-00003C370000}"/>
    <cellStyle name="Titre 1 2" xfId="13890" xr:uid="{00000000-0005-0000-0000-00003D370000}"/>
    <cellStyle name="Titre 1 3" xfId="13891" xr:uid="{00000000-0005-0000-0000-00003E370000}"/>
    <cellStyle name="Titre 1_pluriannuel ANTAI exec 2011 et prev 2012 recalées (3)" xfId="14906" xr:uid="{00000000-0005-0000-0000-00003F370000}"/>
    <cellStyle name="Titre 2" xfId="13892" xr:uid="{00000000-0005-0000-0000-000040370000}"/>
    <cellStyle name="Titre 2 2" xfId="13893" xr:uid="{00000000-0005-0000-0000-000041370000}"/>
    <cellStyle name="Titre 2 3" xfId="13894" xr:uid="{00000000-0005-0000-0000-000042370000}"/>
    <cellStyle name="Titre 2 4" xfId="13895" xr:uid="{00000000-0005-0000-0000-000043370000}"/>
    <cellStyle name="Titre 2 5" xfId="13896" xr:uid="{00000000-0005-0000-0000-000044370000}"/>
    <cellStyle name="Titre 3" xfId="13897" xr:uid="{00000000-0005-0000-0000-000045370000}"/>
    <cellStyle name="Titre 3 2" xfId="13898" xr:uid="{00000000-0005-0000-0000-000046370000}"/>
    <cellStyle name="Titre 3 3" xfId="13899" xr:uid="{00000000-0005-0000-0000-000047370000}"/>
    <cellStyle name="Titre 3 4" xfId="13900" xr:uid="{00000000-0005-0000-0000-000048370000}"/>
    <cellStyle name="Titre 4" xfId="13901" xr:uid="{00000000-0005-0000-0000-000049370000}"/>
    <cellStyle name="Titre 4 2" xfId="13902" xr:uid="{00000000-0005-0000-0000-00004A370000}"/>
    <cellStyle name="Titre 4 3" xfId="13903" xr:uid="{00000000-0005-0000-0000-00004B370000}"/>
    <cellStyle name="Titre 4 4" xfId="13904" xr:uid="{00000000-0005-0000-0000-00004C370000}"/>
    <cellStyle name="Titre 5" xfId="13905" xr:uid="{00000000-0005-0000-0000-00004D370000}"/>
    <cellStyle name="Titre de la feuille" xfId="13906" xr:uid="{00000000-0005-0000-0000-00004E370000}"/>
    <cellStyle name="Titre " xfId="13907" xr:uid="{00000000-0005-0000-0000-00004F370000}"/>
    <cellStyle name="Titre 1 2" xfId="13908" xr:uid="{00000000-0005-0000-0000-000050370000}"/>
    <cellStyle name="Titre 1 2 2" xfId="13909" xr:uid="{00000000-0005-0000-0000-000051370000}"/>
    <cellStyle name="Titre 1 2_130725 DSNA 2011 Dossier de révision initial" xfId="13910" xr:uid="{00000000-0005-0000-0000-000052370000}"/>
    <cellStyle name="Titre 1 3" xfId="13911" xr:uid="{00000000-0005-0000-0000-000053370000}"/>
    <cellStyle name="Titre 1 4" xfId="13912" xr:uid="{00000000-0005-0000-0000-000054370000}"/>
    <cellStyle name="Titre 1 4 2" xfId="13913" xr:uid="{00000000-0005-0000-0000-000055370000}"/>
    <cellStyle name="Titre 1 4 3" xfId="13914" xr:uid="{00000000-0005-0000-0000-000056370000}"/>
    <cellStyle name="Titre 1 5" xfId="13915" xr:uid="{00000000-0005-0000-0000-000057370000}"/>
    <cellStyle name="Titre 1 6" xfId="13916" xr:uid="{00000000-0005-0000-0000-000058370000}"/>
    <cellStyle name="Titre 2 2" xfId="13917" xr:uid="{00000000-0005-0000-0000-000059370000}"/>
    <cellStyle name="Titre 2 2 2" xfId="13918" xr:uid="{00000000-0005-0000-0000-00005A370000}"/>
    <cellStyle name="Titre 2 2_130725 DSNA 2011 Dossier de révision initial" xfId="13919" xr:uid="{00000000-0005-0000-0000-00005B370000}"/>
    <cellStyle name="Titre 2 3" xfId="13920" xr:uid="{00000000-0005-0000-0000-00005C370000}"/>
    <cellStyle name="Titre 2 4" xfId="13921" xr:uid="{00000000-0005-0000-0000-00005D370000}"/>
    <cellStyle name="Titre 2 4 2" xfId="13922" xr:uid="{00000000-0005-0000-0000-00005E370000}"/>
    <cellStyle name="Titre 2 4 3" xfId="13923" xr:uid="{00000000-0005-0000-0000-00005F370000}"/>
    <cellStyle name="Titre 2 5" xfId="13924" xr:uid="{00000000-0005-0000-0000-000060370000}"/>
    <cellStyle name="Titre 2 6" xfId="13925" xr:uid="{00000000-0005-0000-0000-000061370000}"/>
    <cellStyle name="Titre 3 2" xfId="13926" xr:uid="{00000000-0005-0000-0000-000062370000}"/>
    <cellStyle name="Titre 3 2 2" xfId="13927" xr:uid="{00000000-0005-0000-0000-000063370000}"/>
    <cellStyle name="Titre 3 2_130725 DSNA 2011 Dossier de révision initial" xfId="13928" xr:uid="{00000000-0005-0000-0000-000064370000}"/>
    <cellStyle name="Titre 3 3" xfId="13929" xr:uid="{00000000-0005-0000-0000-000065370000}"/>
    <cellStyle name="Titre 3 4" xfId="13930" xr:uid="{00000000-0005-0000-0000-000066370000}"/>
    <cellStyle name="Titre 3 4 2" xfId="13931" xr:uid="{00000000-0005-0000-0000-000067370000}"/>
    <cellStyle name="Titre 3 4 3" xfId="13932" xr:uid="{00000000-0005-0000-0000-000068370000}"/>
    <cellStyle name="Titre 3 5" xfId="13933" xr:uid="{00000000-0005-0000-0000-000069370000}"/>
    <cellStyle name="Titre 4 2" xfId="13934" xr:uid="{00000000-0005-0000-0000-00006A370000}"/>
    <cellStyle name="Titre 4 2 2" xfId="13935" xr:uid="{00000000-0005-0000-0000-00006B370000}"/>
    <cellStyle name="Titre 4 3" xfId="13936" xr:uid="{00000000-0005-0000-0000-00006C370000}"/>
    <cellStyle name="Titre 4 4" xfId="13937" xr:uid="{00000000-0005-0000-0000-00006D370000}"/>
    <cellStyle name="Titre 4 4 2" xfId="13938" xr:uid="{00000000-0005-0000-0000-00006E370000}"/>
    <cellStyle name="Titre 4 4 3" xfId="13939" xr:uid="{00000000-0005-0000-0000-00006F370000}"/>
    <cellStyle name="Titre 4 5" xfId="13940" xr:uid="{00000000-0005-0000-0000-000070370000}"/>
    <cellStyle name="Titre10" xfId="13941" xr:uid="{00000000-0005-0000-0000-000071370000}"/>
    <cellStyle name="Titre11" xfId="13942" xr:uid="{00000000-0005-0000-0000-000072370000}"/>
    <cellStyle name="Titre12" xfId="13943" xr:uid="{00000000-0005-0000-0000-000073370000}"/>
    <cellStyle name="Titre16" xfId="13944" xr:uid="{00000000-0005-0000-0000-000074370000}"/>
    <cellStyle name="Titulo" xfId="13945" xr:uid="{00000000-0005-0000-0000-000075370000}"/>
    <cellStyle name="Título" xfId="13946" xr:uid="{00000000-0005-0000-0000-000076370000}"/>
    <cellStyle name="Título 1" xfId="13947" xr:uid="{00000000-0005-0000-0000-000077370000}"/>
    <cellStyle name="Título 2" xfId="13948" xr:uid="{00000000-0005-0000-0000-000078370000}"/>
    <cellStyle name="Título 3" xfId="13949" xr:uid="{00000000-0005-0000-0000-000079370000}"/>
    <cellStyle name="To" xfId="13950" xr:uid="{00000000-0005-0000-0000-00007A370000}"/>
    <cellStyle name="Total (line)" xfId="13951" xr:uid="{00000000-0005-0000-0000-00007C370000}"/>
    <cellStyle name="Total (line) 2" xfId="13952" xr:uid="{00000000-0005-0000-0000-00007D370000}"/>
    <cellStyle name="Total (line) 3" xfId="13953" xr:uid="{00000000-0005-0000-0000-00007E370000}"/>
    <cellStyle name="Total (line) 4" xfId="13954" xr:uid="{00000000-0005-0000-0000-00007F370000}"/>
    <cellStyle name="Total (line) 5" xfId="13955" xr:uid="{00000000-0005-0000-0000-000080370000}"/>
    <cellStyle name="Total 10" xfId="13956" xr:uid="{00000000-0005-0000-0000-000081370000}"/>
    <cellStyle name="Total 10 2" xfId="13957" xr:uid="{00000000-0005-0000-0000-000082370000}"/>
    <cellStyle name="Total 10 2 2" xfId="13958" xr:uid="{00000000-0005-0000-0000-000083370000}"/>
    <cellStyle name="Total 10 2 3" xfId="13959" xr:uid="{00000000-0005-0000-0000-000084370000}"/>
    <cellStyle name="Total 10 3" xfId="13960" xr:uid="{00000000-0005-0000-0000-000085370000}"/>
    <cellStyle name="Total 10 4" xfId="13961" xr:uid="{00000000-0005-0000-0000-000086370000}"/>
    <cellStyle name="Total 11" xfId="13962" xr:uid="{00000000-0005-0000-0000-000087370000}"/>
    <cellStyle name="Total 11 2" xfId="13963" xr:uid="{00000000-0005-0000-0000-000088370000}"/>
    <cellStyle name="Total 11 2 2" xfId="13964" xr:uid="{00000000-0005-0000-0000-000089370000}"/>
    <cellStyle name="Total 11 2 3" xfId="13965" xr:uid="{00000000-0005-0000-0000-00008A370000}"/>
    <cellStyle name="Total 11 3" xfId="13966" xr:uid="{00000000-0005-0000-0000-00008B370000}"/>
    <cellStyle name="Total 11 4" xfId="13967" xr:uid="{00000000-0005-0000-0000-00008C370000}"/>
    <cellStyle name="Total 12" xfId="13968" xr:uid="{00000000-0005-0000-0000-00008D370000}"/>
    <cellStyle name="Total 12 2" xfId="13969" xr:uid="{00000000-0005-0000-0000-00008E370000}"/>
    <cellStyle name="Total 12 2 2" xfId="13970" xr:uid="{00000000-0005-0000-0000-00008F370000}"/>
    <cellStyle name="Total 12 2 3" xfId="13971" xr:uid="{00000000-0005-0000-0000-000090370000}"/>
    <cellStyle name="Total 12 3" xfId="13972" xr:uid="{00000000-0005-0000-0000-000091370000}"/>
    <cellStyle name="Total 12 4" xfId="13973" xr:uid="{00000000-0005-0000-0000-000092370000}"/>
    <cellStyle name="Total 13" xfId="13974" xr:uid="{00000000-0005-0000-0000-000093370000}"/>
    <cellStyle name="Total 13 2" xfId="13975" xr:uid="{00000000-0005-0000-0000-000094370000}"/>
    <cellStyle name="Total 13 2 2" xfId="13976" xr:uid="{00000000-0005-0000-0000-000095370000}"/>
    <cellStyle name="Total 13 2 3" xfId="13977" xr:uid="{00000000-0005-0000-0000-000096370000}"/>
    <cellStyle name="Total 13 3" xfId="13978" xr:uid="{00000000-0005-0000-0000-000097370000}"/>
    <cellStyle name="Total 13 4" xfId="13979" xr:uid="{00000000-0005-0000-0000-000098370000}"/>
    <cellStyle name="Total 14" xfId="13980" xr:uid="{00000000-0005-0000-0000-000099370000}"/>
    <cellStyle name="Total 14 2" xfId="13981" xr:uid="{00000000-0005-0000-0000-00009A370000}"/>
    <cellStyle name="Total 14 2 2" xfId="13982" xr:uid="{00000000-0005-0000-0000-00009B370000}"/>
    <cellStyle name="Total 14 2 3" xfId="13983" xr:uid="{00000000-0005-0000-0000-00009C370000}"/>
    <cellStyle name="Total 14 3" xfId="13984" xr:uid="{00000000-0005-0000-0000-00009D370000}"/>
    <cellStyle name="Total 14 4" xfId="13985" xr:uid="{00000000-0005-0000-0000-00009E370000}"/>
    <cellStyle name="Total 15" xfId="13986" xr:uid="{00000000-0005-0000-0000-00009F370000}"/>
    <cellStyle name="Total 15 2" xfId="13987" xr:uid="{00000000-0005-0000-0000-0000A0370000}"/>
    <cellStyle name="Total 15 2 2" xfId="13988" xr:uid="{00000000-0005-0000-0000-0000A1370000}"/>
    <cellStyle name="Total 15 2 3" xfId="13989" xr:uid="{00000000-0005-0000-0000-0000A2370000}"/>
    <cellStyle name="Total 15 3" xfId="13990" xr:uid="{00000000-0005-0000-0000-0000A3370000}"/>
    <cellStyle name="Total 15 4" xfId="13991" xr:uid="{00000000-0005-0000-0000-0000A4370000}"/>
    <cellStyle name="Total 16" xfId="13992" xr:uid="{00000000-0005-0000-0000-0000A5370000}"/>
    <cellStyle name="Total 16 2" xfId="13993" xr:uid="{00000000-0005-0000-0000-0000A6370000}"/>
    <cellStyle name="Total 16 3" xfId="13994" xr:uid="{00000000-0005-0000-0000-0000A7370000}"/>
    <cellStyle name="Total 17" xfId="13995" xr:uid="{00000000-0005-0000-0000-0000A8370000}"/>
    <cellStyle name="Total 17 2" xfId="13996" xr:uid="{00000000-0005-0000-0000-0000A9370000}"/>
    <cellStyle name="Total 17 3" xfId="13997" xr:uid="{00000000-0005-0000-0000-0000AA370000}"/>
    <cellStyle name="Total 18" xfId="13998" xr:uid="{00000000-0005-0000-0000-0000AB370000}"/>
    <cellStyle name="Total 18 2" xfId="13999" xr:uid="{00000000-0005-0000-0000-0000AC370000}"/>
    <cellStyle name="Total 18 3" xfId="14000" xr:uid="{00000000-0005-0000-0000-0000AD370000}"/>
    <cellStyle name="Total 19" xfId="14001" xr:uid="{00000000-0005-0000-0000-0000AE370000}"/>
    <cellStyle name="Total 19 2" xfId="14002" xr:uid="{00000000-0005-0000-0000-0000AF370000}"/>
    <cellStyle name="Total 19 3" xfId="14003" xr:uid="{00000000-0005-0000-0000-0000B0370000}"/>
    <cellStyle name="Total 2" xfId="14004" xr:uid="{00000000-0005-0000-0000-0000B1370000}"/>
    <cellStyle name="Total 2 2" xfId="14005" xr:uid="{00000000-0005-0000-0000-0000B2370000}"/>
    <cellStyle name="Total 2 2 2" xfId="14006" xr:uid="{00000000-0005-0000-0000-0000B3370000}"/>
    <cellStyle name="Total 2 2 3" xfId="14007" xr:uid="{00000000-0005-0000-0000-0000B4370000}"/>
    <cellStyle name="Total 2 2 4" xfId="14008" xr:uid="{00000000-0005-0000-0000-0000B5370000}"/>
    <cellStyle name="Total 2 2 5" xfId="14009" xr:uid="{00000000-0005-0000-0000-0000B6370000}"/>
    <cellStyle name="Total 2 3" xfId="14010" xr:uid="{00000000-0005-0000-0000-0000B7370000}"/>
    <cellStyle name="Total 2 3 2" xfId="14011" xr:uid="{00000000-0005-0000-0000-0000B8370000}"/>
    <cellStyle name="Total 2 3 3" xfId="14012" xr:uid="{00000000-0005-0000-0000-0000B9370000}"/>
    <cellStyle name="Total 2 4" xfId="14013" xr:uid="{00000000-0005-0000-0000-0000BA370000}"/>
    <cellStyle name="Total 2 4 2" xfId="14014" xr:uid="{00000000-0005-0000-0000-0000BB370000}"/>
    <cellStyle name="Total 2 5" xfId="14015" xr:uid="{00000000-0005-0000-0000-0000BC370000}"/>
    <cellStyle name="Total 2 6" xfId="14016" xr:uid="{00000000-0005-0000-0000-0000BD370000}"/>
    <cellStyle name="Total 2 7" xfId="14017" xr:uid="{00000000-0005-0000-0000-0000BE370000}"/>
    <cellStyle name="Total 20" xfId="14018" xr:uid="{00000000-0005-0000-0000-0000BF370000}"/>
    <cellStyle name="Total 20 2" xfId="14019" xr:uid="{00000000-0005-0000-0000-0000C0370000}"/>
    <cellStyle name="Total 20 3" xfId="14020" xr:uid="{00000000-0005-0000-0000-0000C1370000}"/>
    <cellStyle name="Total 21" xfId="14021" xr:uid="{00000000-0005-0000-0000-0000C2370000}"/>
    <cellStyle name="Total 21 2" xfId="14022" xr:uid="{00000000-0005-0000-0000-0000C3370000}"/>
    <cellStyle name="Total 21 3" xfId="14023" xr:uid="{00000000-0005-0000-0000-0000C4370000}"/>
    <cellStyle name="Total 22" xfId="14024" xr:uid="{00000000-0005-0000-0000-0000C5370000}"/>
    <cellStyle name="Total 22 2" xfId="14025" xr:uid="{00000000-0005-0000-0000-0000C6370000}"/>
    <cellStyle name="Total 22 3" xfId="14026" xr:uid="{00000000-0005-0000-0000-0000C7370000}"/>
    <cellStyle name="Total 23" xfId="14027" xr:uid="{00000000-0005-0000-0000-0000C8370000}"/>
    <cellStyle name="Total 23 2" xfId="14028" xr:uid="{00000000-0005-0000-0000-0000C9370000}"/>
    <cellStyle name="Total 23 3" xfId="14029" xr:uid="{00000000-0005-0000-0000-0000CA370000}"/>
    <cellStyle name="Total 24" xfId="14030" xr:uid="{00000000-0005-0000-0000-0000CB370000}"/>
    <cellStyle name="Total 24 2" xfId="14031" xr:uid="{00000000-0005-0000-0000-0000CC370000}"/>
    <cellStyle name="Total 24 3" xfId="14032" xr:uid="{00000000-0005-0000-0000-0000CD370000}"/>
    <cellStyle name="Total 25" xfId="14033" xr:uid="{00000000-0005-0000-0000-0000CE370000}"/>
    <cellStyle name="Total 25 2" xfId="14034" xr:uid="{00000000-0005-0000-0000-0000CF370000}"/>
    <cellStyle name="Total 25 3" xfId="14035" xr:uid="{00000000-0005-0000-0000-0000D0370000}"/>
    <cellStyle name="Total 26" xfId="14036" xr:uid="{00000000-0005-0000-0000-0000D1370000}"/>
    <cellStyle name="Total 26 2" xfId="14037" xr:uid="{00000000-0005-0000-0000-0000D2370000}"/>
    <cellStyle name="Total 26 3" xfId="14038" xr:uid="{00000000-0005-0000-0000-0000D3370000}"/>
    <cellStyle name="Total 27" xfId="14039" xr:uid="{00000000-0005-0000-0000-0000D4370000}"/>
    <cellStyle name="Total 27 2" xfId="14040" xr:uid="{00000000-0005-0000-0000-0000D5370000}"/>
    <cellStyle name="Total 27 3" xfId="14041" xr:uid="{00000000-0005-0000-0000-0000D6370000}"/>
    <cellStyle name="Total 28" xfId="14042" xr:uid="{00000000-0005-0000-0000-0000D7370000}"/>
    <cellStyle name="Total 28 2" xfId="14043" xr:uid="{00000000-0005-0000-0000-0000D8370000}"/>
    <cellStyle name="Total 28 3" xfId="14044" xr:uid="{00000000-0005-0000-0000-0000D9370000}"/>
    <cellStyle name="Total 29" xfId="14045" xr:uid="{00000000-0005-0000-0000-0000DA370000}"/>
    <cellStyle name="Total 29 2" xfId="14046" xr:uid="{00000000-0005-0000-0000-0000DB370000}"/>
    <cellStyle name="Total 29 3" xfId="14047" xr:uid="{00000000-0005-0000-0000-0000DC370000}"/>
    <cellStyle name="Total 3" xfId="14048" xr:uid="{00000000-0005-0000-0000-0000DD370000}"/>
    <cellStyle name="Total 3 2" xfId="14049" xr:uid="{00000000-0005-0000-0000-0000DE370000}"/>
    <cellStyle name="Total 3 2 2" xfId="14050" xr:uid="{00000000-0005-0000-0000-0000DF370000}"/>
    <cellStyle name="Total 3 2 3" xfId="14051" xr:uid="{00000000-0005-0000-0000-0000E0370000}"/>
    <cellStyle name="Total 3 3" xfId="14052" xr:uid="{00000000-0005-0000-0000-0000E1370000}"/>
    <cellStyle name="Total 3 4" xfId="14053" xr:uid="{00000000-0005-0000-0000-0000E2370000}"/>
    <cellStyle name="Total 3 5" xfId="14054" xr:uid="{00000000-0005-0000-0000-0000E3370000}"/>
    <cellStyle name="Total 3 6" xfId="14055" xr:uid="{00000000-0005-0000-0000-0000E4370000}"/>
    <cellStyle name="Total 30" xfId="14056" xr:uid="{00000000-0005-0000-0000-0000E5370000}"/>
    <cellStyle name="Total 30 2" xfId="14057" xr:uid="{00000000-0005-0000-0000-0000E6370000}"/>
    <cellStyle name="Total 30 3" xfId="14058" xr:uid="{00000000-0005-0000-0000-0000E7370000}"/>
    <cellStyle name="Total 31" xfId="14059" xr:uid="{00000000-0005-0000-0000-0000E8370000}"/>
    <cellStyle name="Total 31 2" xfId="14060" xr:uid="{00000000-0005-0000-0000-0000E9370000}"/>
    <cellStyle name="Total 31 3" xfId="14061" xr:uid="{00000000-0005-0000-0000-0000EA370000}"/>
    <cellStyle name="Total 32" xfId="14062" xr:uid="{00000000-0005-0000-0000-0000EB370000}"/>
    <cellStyle name="Total 32 2" xfId="14063" xr:uid="{00000000-0005-0000-0000-0000EC370000}"/>
    <cellStyle name="Total 32 3" xfId="14064" xr:uid="{00000000-0005-0000-0000-0000ED370000}"/>
    <cellStyle name="Total 33" xfId="14065" xr:uid="{00000000-0005-0000-0000-0000EE370000}"/>
    <cellStyle name="Total 34" xfId="14066" xr:uid="{00000000-0005-0000-0000-0000EF370000}"/>
    <cellStyle name="Total 35" xfId="14067" xr:uid="{00000000-0005-0000-0000-0000F0370000}"/>
    <cellStyle name="Total 36" xfId="14068" xr:uid="{00000000-0005-0000-0000-0000F1370000}"/>
    <cellStyle name="Total 37" xfId="14069" xr:uid="{00000000-0005-0000-0000-0000F2370000}"/>
    <cellStyle name="Total 38" xfId="14070" xr:uid="{00000000-0005-0000-0000-0000F3370000}"/>
    <cellStyle name="Total 39" xfId="14071" xr:uid="{00000000-0005-0000-0000-0000F4370000}"/>
    <cellStyle name="Total 4" xfId="14072" xr:uid="{00000000-0005-0000-0000-0000F5370000}"/>
    <cellStyle name="Total 4 2" xfId="14073" xr:uid="{00000000-0005-0000-0000-0000F6370000}"/>
    <cellStyle name="Total 4 2 2" xfId="14074" xr:uid="{00000000-0005-0000-0000-0000F7370000}"/>
    <cellStyle name="Total 4 2 3" xfId="14075" xr:uid="{00000000-0005-0000-0000-0000F8370000}"/>
    <cellStyle name="Total 4 2 4" xfId="14076" xr:uid="{00000000-0005-0000-0000-0000F9370000}"/>
    <cellStyle name="Total 4 3" xfId="14077" xr:uid="{00000000-0005-0000-0000-0000FA370000}"/>
    <cellStyle name="Total 4 4" xfId="14078" xr:uid="{00000000-0005-0000-0000-0000FB370000}"/>
    <cellStyle name="Total 4 5" xfId="14079" xr:uid="{00000000-0005-0000-0000-0000FC370000}"/>
    <cellStyle name="Total 4 6" xfId="14080" xr:uid="{00000000-0005-0000-0000-0000FD370000}"/>
    <cellStyle name="Total 4 7" xfId="14081" xr:uid="{00000000-0005-0000-0000-0000FE370000}"/>
    <cellStyle name="Total 40" xfId="14082" xr:uid="{00000000-0005-0000-0000-0000FF370000}"/>
    <cellStyle name="Total 40 2" xfId="14083" xr:uid="{00000000-0005-0000-0000-000000380000}"/>
    <cellStyle name="Total 40 3" xfId="14084" xr:uid="{00000000-0005-0000-0000-000001380000}"/>
    <cellStyle name="Total 41" xfId="14085" xr:uid="{00000000-0005-0000-0000-000002380000}"/>
    <cellStyle name="Total 42" xfId="14086" xr:uid="{00000000-0005-0000-0000-000003380000}"/>
    <cellStyle name="Total 43" xfId="14087" xr:uid="{00000000-0005-0000-0000-000004380000}"/>
    <cellStyle name="Total 44" xfId="14088" xr:uid="{00000000-0005-0000-0000-000005380000}"/>
    <cellStyle name="Total 45" xfId="14089" xr:uid="{00000000-0005-0000-0000-000006380000}"/>
    <cellStyle name="Total 46" xfId="14090" xr:uid="{00000000-0005-0000-0000-000007380000}"/>
    <cellStyle name="Total 47" xfId="14091" xr:uid="{00000000-0005-0000-0000-000008380000}"/>
    <cellStyle name="Total 48" xfId="14092" xr:uid="{00000000-0005-0000-0000-000009380000}"/>
    <cellStyle name="Total 49" xfId="14093" xr:uid="{00000000-0005-0000-0000-00000A380000}"/>
    <cellStyle name="Total 5" xfId="14094" xr:uid="{00000000-0005-0000-0000-00000B380000}"/>
    <cellStyle name="Total 5 2" xfId="14095" xr:uid="{00000000-0005-0000-0000-00000C380000}"/>
    <cellStyle name="Total 5 2 2" xfId="14096" xr:uid="{00000000-0005-0000-0000-00000D380000}"/>
    <cellStyle name="Total 5 2 3" xfId="14097" xr:uid="{00000000-0005-0000-0000-00000E380000}"/>
    <cellStyle name="Total 5 3" xfId="14098" xr:uid="{00000000-0005-0000-0000-00000F380000}"/>
    <cellStyle name="Total 5 4" xfId="14099" xr:uid="{00000000-0005-0000-0000-000010380000}"/>
    <cellStyle name="Total 5 5" xfId="14100" xr:uid="{00000000-0005-0000-0000-000011380000}"/>
    <cellStyle name="Total 5 6" xfId="14101" xr:uid="{00000000-0005-0000-0000-000012380000}"/>
    <cellStyle name="Total 50" xfId="14102" xr:uid="{00000000-0005-0000-0000-000013380000}"/>
    <cellStyle name="Total 51" xfId="14103" xr:uid="{00000000-0005-0000-0000-000014380000}"/>
    <cellStyle name="Total 52" xfId="14684" xr:uid="{00000000-0005-0000-0000-000015380000}"/>
    <cellStyle name="Total 53" xfId="14708" xr:uid="{00000000-0005-0000-0000-000016380000}"/>
    <cellStyle name="Total 54" xfId="14698" xr:uid="{00000000-0005-0000-0000-000017380000}"/>
    <cellStyle name="Total 6" xfId="14104" xr:uid="{00000000-0005-0000-0000-000018380000}"/>
    <cellStyle name="Total 6 2" xfId="14105" xr:uid="{00000000-0005-0000-0000-000019380000}"/>
    <cellStyle name="Total 6 2 2" xfId="14106" xr:uid="{00000000-0005-0000-0000-00001A380000}"/>
    <cellStyle name="Total 6 2 3" xfId="14107" xr:uid="{00000000-0005-0000-0000-00001B380000}"/>
    <cellStyle name="Total 6 3" xfId="14108" xr:uid="{00000000-0005-0000-0000-00001C380000}"/>
    <cellStyle name="Total 6 4" xfId="14109" xr:uid="{00000000-0005-0000-0000-00001D380000}"/>
    <cellStyle name="Total 7" xfId="14110" xr:uid="{00000000-0005-0000-0000-00001E380000}"/>
    <cellStyle name="Total 7 2" xfId="14111" xr:uid="{00000000-0005-0000-0000-00001F380000}"/>
    <cellStyle name="Total 7 2 2" xfId="14112" xr:uid="{00000000-0005-0000-0000-000020380000}"/>
    <cellStyle name="Total 7 2 3" xfId="14113" xr:uid="{00000000-0005-0000-0000-000021380000}"/>
    <cellStyle name="Total 7 3" xfId="14114" xr:uid="{00000000-0005-0000-0000-000022380000}"/>
    <cellStyle name="Total 7 4" xfId="14115" xr:uid="{00000000-0005-0000-0000-000023380000}"/>
    <cellStyle name="Total 8" xfId="14116" xr:uid="{00000000-0005-0000-0000-000024380000}"/>
    <cellStyle name="Total 8 2" xfId="14117" xr:uid="{00000000-0005-0000-0000-000025380000}"/>
    <cellStyle name="Total 8 2 2" xfId="14118" xr:uid="{00000000-0005-0000-0000-000026380000}"/>
    <cellStyle name="Total 8 2 3" xfId="14119" xr:uid="{00000000-0005-0000-0000-000027380000}"/>
    <cellStyle name="Total 8 3" xfId="14120" xr:uid="{00000000-0005-0000-0000-000028380000}"/>
    <cellStyle name="Total 8 4" xfId="14121" xr:uid="{00000000-0005-0000-0000-000029380000}"/>
    <cellStyle name="Total 9" xfId="14122" xr:uid="{00000000-0005-0000-0000-00002A380000}"/>
    <cellStyle name="Total 9 2" xfId="14123" xr:uid="{00000000-0005-0000-0000-00002B380000}"/>
    <cellStyle name="Total 9 2 2" xfId="14124" xr:uid="{00000000-0005-0000-0000-00002C380000}"/>
    <cellStyle name="Total 9 2 3" xfId="14125" xr:uid="{00000000-0005-0000-0000-00002D380000}"/>
    <cellStyle name="Total 9 3" xfId="14126" xr:uid="{00000000-0005-0000-0000-00002E380000}"/>
    <cellStyle name="Total 9 4" xfId="14127" xr:uid="{00000000-0005-0000-0000-00002F380000}"/>
    <cellStyle name="Totale 10" xfId="14128" xr:uid="{00000000-0005-0000-0000-000030380000}"/>
    <cellStyle name="Totale 10 2" xfId="14129" xr:uid="{00000000-0005-0000-0000-000031380000}"/>
    <cellStyle name="Totale 10 2 2" xfId="14130" xr:uid="{00000000-0005-0000-0000-000032380000}"/>
    <cellStyle name="Totale 10 2 3" xfId="14131" xr:uid="{00000000-0005-0000-0000-000033380000}"/>
    <cellStyle name="Totale 10 3" xfId="14132" xr:uid="{00000000-0005-0000-0000-000034380000}"/>
    <cellStyle name="Totale 10 4" xfId="14133" xr:uid="{00000000-0005-0000-0000-000035380000}"/>
    <cellStyle name="Totale 11" xfId="14134" xr:uid="{00000000-0005-0000-0000-000036380000}"/>
    <cellStyle name="Totale 11 2" xfId="14135" xr:uid="{00000000-0005-0000-0000-000037380000}"/>
    <cellStyle name="Totale 11 2 2" xfId="14136" xr:uid="{00000000-0005-0000-0000-000038380000}"/>
    <cellStyle name="Totale 11 2 3" xfId="14137" xr:uid="{00000000-0005-0000-0000-000039380000}"/>
    <cellStyle name="Totale 11 3" xfId="14138" xr:uid="{00000000-0005-0000-0000-00003A380000}"/>
    <cellStyle name="Totale 11 4" xfId="14139" xr:uid="{00000000-0005-0000-0000-00003B380000}"/>
    <cellStyle name="Totale 12" xfId="14140" xr:uid="{00000000-0005-0000-0000-00003C380000}"/>
    <cellStyle name="Totale 12 2" xfId="14141" xr:uid="{00000000-0005-0000-0000-00003D380000}"/>
    <cellStyle name="Totale 12 2 2" xfId="14142" xr:uid="{00000000-0005-0000-0000-00003E380000}"/>
    <cellStyle name="Totale 12 2 3" xfId="14143" xr:uid="{00000000-0005-0000-0000-00003F380000}"/>
    <cellStyle name="Totale 12 3" xfId="14144" xr:uid="{00000000-0005-0000-0000-000040380000}"/>
    <cellStyle name="Totale 12 4" xfId="14145" xr:uid="{00000000-0005-0000-0000-000041380000}"/>
    <cellStyle name="Totale 13" xfId="14146" xr:uid="{00000000-0005-0000-0000-000042380000}"/>
    <cellStyle name="Totale 13 2" xfId="14147" xr:uid="{00000000-0005-0000-0000-000043380000}"/>
    <cellStyle name="Totale 13 2 2" xfId="14148" xr:uid="{00000000-0005-0000-0000-000044380000}"/>
    <cellStyle name="Totale 13 2 3" xfId="14149" xr:uid="{00000000-0005-0000-0000-000045380000}"/>
    <cellStyle name="Totale 13 3" xfId="14150" xr:uid="{00000000-0005-0000-0000-000046380000}"/>
    <cellStyle name="Totale 13 4" xfId="14151" xr:uid="{00000000-0005-0000-0000-000047380000}"/>
    <cellStyle name="Totale 14" xfId="14152" xr:uid="{00000000-0005-0000-0000-000048380000}"/>
    <cellStyle name="Totale 14 2" xfId="14153" xr:uid="{00000000-0005-0000-0000-000049380000}"/>
    <cellStyle name="Totale 14 2 2" xfId="14154" xr:uid="{00000000-0005-0000-0000-00004A380000}"/>
    <cellStyle name="Totale 14 2 3" xfId="14155" xr:uid="{00000000-0005-0000-0000-00004B380000}"/>
    <cellStyle name="Totale 14 3" xfId="14156" xr:uid="{00000000-0005-0000-0000-00004C380000}"/>
    <cellStyle name="Totale 14 4" xfId="14157" xr:uid="{00000000-0005-0000-0000-00004D380000}"/>
    <cellStyle name="Totale 15" xfId="14158" xr:uid="{00000000-0005-0000-0000-00004E380000}"/>
    <cellStyle name="Totale 15 2" xfId="14159" xr:uid="{00000000-0005-0000-0000-00004F380000}"/>
    <cellStyle name="Totale 15 2 2" xfId="14160" xr:uid="{00000000-0005-0000-0000-000050380000}"/>
    <cellStyle name="Totale 15 2 3" xfId="14161" xr:uid="{00000000-0005-0000-0000-000051380000}"/>
    <cellStyle name="Totale 15 3" xfId="14162" xr:uid="{00000000-0005-0000-0000-000052380000}"/>
    <cellStyle name="Totale 15 4" xfId="14163" xr:uid="{00000000-0005-0000-0000-000053380000}"/>
    <cellStyle name="Totale 16" xfId="14164" xr:uid="{00000000-0005-0000-0000-000054380000}"/>
    <cellStyle name="Totale 16 2" xfId="14165" xr:uid="{00000000-0005-0000-0000-000055380000}"/>
    <cellStyle name="Totale 16 2 2" xfId="14166" xr:uid="{00000000-0005-0000-0000-000056380000}"/>
    <cellStyle name="Totale 16 2 3" xfId="14167" xr:uid="{00000000-0005-0000-0000-000057380000}"/>
    <cellStyle name="Totale 16 3" xfId="14168" xr:uid="{00000000-0005-0000-0000-000058380000}"/>
    <cellStyle name="Totale 16 4" xfId="14169" xr:uid="{00000000-0005-0000-0000-000059380000}"/>
    <cellStyle name="Totale 17" xfId="14170" xr:uid="{00000000-0005-0000-0000-00005A380000}"/>
    <cellStyle name="Totale 17 2" xfId="14171" xr:uid="{00000000-0005-0000-0000-00005B380000}"/>
    <cellStyle name="Totale 17 3" xfId="14172" xr:uid="{00000000-0005-0000-0000-00005C380000}"/>
    <cellStyle name="Totale 18" xfId="14173" xr:uid="{00000000-0005-0000-0000-00005D380000}"/>
    <cellStyle name="Totale 18 2" xfId="14174" xr:uid="{00000000-0005-0000-0000-00005E380000}"/>
    <cellStyle name="Totale 18 3" xfId="14175" xr:uid="{00000000-0005-0000-0000-00005F380000}"/>
    <cellStyle name="Totale 2" xfId="14176" xr:uid="{00000000-0005-0000-0000-000060380000}"/>
    <cellStyle name="Totale 2 2" xfId="14177" xr:uid="{00000000-0005-0000-0000-000061380000}"/>
    <cellStyle name="Totale 2 2 2" xfId="14178" xr:uid="{00000000-0005-0000-0000-000062380000}"/>
    <cellStyle name="Totale 2 2 3" xfId="14179" xr:uid="{00000000-0005-0000-0000-000063380000}"/>
    <cellStyle name="Totale 2 3" xfId="14180" xr:uid="{00000000-0005-0000-0000-000064380000}"/>
    <cellStyle name="Totale 2 4" xfId="14181" xr:uid="{00000000-0005-0000-0000-000065380000}"/>
    <cellStyle name="Totale 3" xfId="14182" xr:uid="{00000000-0005-0000-0000-000066380000}"/>
    <cellStyle name="Totale 3 2" xfId="14183" xr:uid="{00000000-0005-0000-0000-000067380000}"/>
    <cellStyle name="Totale 3 2 2" xfId="14184" xr:uid="{00000000-0005-0000-0000-000068380000}"/>
    <cellStyle name="Totale 3 2 3" xfId="14185" xr:uid="{00000000-0005-0000-0000-000069380000}"/>
    <cellStyle name="Totale 3 3" xfId="14186" xr:uid="{00000000-0005-0000-0000-00006A380000}"/>
    <cellStyle name="Totale 3 4" xfId="14187" xr:uid="{00000000-0005-0000-0000-00006B380000}"/>
    <cellStyle name="Totale 4" xfId="14188" xr:uid="{00000000-0005-0000-0000-00006C380000}"/>
    <cellStyle name="Totale 4 2" xfId="14189" xr:uid="{00000000-0005-0000-0000-00006D380000}"/>
    <cellStyle name="Totale 4 2 2" xfId="14190" xr:uid="{00000000-0005-0000-0000-00006E380000}"/>
    <cellStyle name="Totale 4 2 3" xfId="14191" xr:uid="{00000000-0005-0000-0000-00006F380000}"/>
    <cellStyle name="Totale 4 3" xfId="14192" xr:uid="{00000000-0005-0000-0000-000070380000}"/>
    <cellStyle name="Totale 4 4" xfId="14193" xr:uid="{00000000-0005-0000-0000-000071380000}"/>
    <cellStyle name="Totale 5" xfId="14194" xr:uid="{00000000-0005-0000-0000-000072380000}"/>
    <cellStyle name="Totale 5 2" xfId="14195" xr:uid="{00000000-0005-0000-0000-000073380000}"/>
    <cellStyle name="Totale 5 2 2" xfId="14196" xr:uid="{00000000-0005-0000-0000-000074380000}"/>
    <cellStyle name="Totale 5 2 3" xfId="14197" xr:uid="{00000000-0005-0000-0000-000075380000}"/>
    <cellStyle name="Totale 5 3" xfId="14198" xr:uid="{00000000-0005-0000-0000-000076380000}"/>
    <cellStyle name="Totale 5 4" xfId="14199" xr:uid="{00000000-0005-0000-0000-000077380000}"/>
    <cellStyle name="Totale 6" xfId="14200" xr:uid="{00000000-0005-0000-0000-000078380000}"/>
    <cellStyle name="Totale 6 2" xfId="14201" xr:uid="{00000000-0005-0000-0000-000079380000}"/>
    <cellStyle name="Totale 6 2 2" xfId="14202" xr:uid="{00000000-0005-0000-0000-00007A380000}"/>
    <cellStyle name="Totale 6 2 3" xfId="14203" xr:uid="{00000000-0005-0000-0000-00007B380000}"/>
    <cellStyle name="Totale 6 3" xfId="14204" xr:uid="{00000000-0005-0000-0000-00007C380000}"/>
    <cellStyle name="Totale 6 4" xfId="14205" xr:uid="{00000000-0005-0000-0000-00007D380000}"/>
    <cellStyle name="Totale 7" xfId="14206" xr:uid="{00000000-0005-0000-0000-00007E380000}"/>
    <cellStyle name="Totale 7 2" xfId="14207" xr:uid="{00000000-0005-0000-0000-00007F380000}"/>
    <cellStyle name="Totale 7 2 2" xfId="14208" xr:uid="{00000000-0005-0000-0000-000080380000}"/>
    <cellStyle name="Totale 7 2 3" xfId="14209" xr:uid="{00000000-0005-0000-0000-000081380000}"/>
    <cellStyle name="Totale 7 3" xfId="14210" xr:uid="{00000000-0005-0000-0000-000082380000}"/>
    <cellStyle name="Totale 7 4" xfId="14211" xr:uid="{00000000-0005-0000-0000-000083380000}"/>
    <cellStyle name="Totale 8" xfId="14212" xr:uid="{00000000-0005-0000-0000-000084380000}"/>
    <cellStyle name="Totale 8 2" xfId="14213" xr:uid="{00000000-0005-0000-0000-000085380000}"/>
    <cellStyle name="Totale 8 2 2" xfId="14214" xr:uid="{00000000-0005-0000-0000-000086380000}"/>
    <cellStyle name="Totale 8 2 3" xfId="14215" xr:uid="{00000000-0005-0000-0000-000087380000}"/>
    <cellStyle name="Totale 8 3" xfId="14216" xr:uid="{00000000-0005-0000-0000-000088380000}"/>
    <cellStyle name="Totale 8 4" xfId="14217" xr:uid="{00000000-0005-0000-0000-000089380000}"/>
    <cellStyle name="Totale 9" xfId="14218" xr:uid="{00000000-0005-0000-0000-00008A380000}"/>
    <cellStyle name="Totale 9 2" xfId="14219" xr:uid="{00000000-0005-0000-0000-00008B380000}"/>
    <cellStyle name="Totale 9 2 2" xfId="14220" xr:uid="{00000000-0005-0000-0000-00008C380000}"/>
    <cellStyle name="Totale 9 2 3" xfId="14221" xr:uid="{00000000-0005-0000-0000-00008D380000}"/>
    <cellStyle name="Totale 9 3" xfId="14222" xr:uid="{00000000-0005-0000-0000-00008E380000}"/>
    <cellStyle name="Totale 9 4" xfId="14223" xr:uid="{00000000-0005-0000-0000-00008F380000}"/>
    <cellStyle name="Totals" xfId="14224" xr:uid="{00000000-0005-0000-0000-000090380000}"/>
    <cellStyle name="Totalt" xfId="14667" builtinId="25" customBuiltin="1"/>
    <cellStyle name="tr" xfId="14225" xr:uid="{00000000-0005-0000-0000-000091380000}"/>
    <cellStyle name="Tulostus" xfId="14226" xr:uid="{00000000-0005-0000-0000-000092380000}"/>
    <cellStyle name="Tulostus 10" xfId="14227" xr:uid="{00000000-0005-0000-0000-000093380000}"/>
    <cellStyle name="Tulostus 10 2" xfId="14228" xr:uid="{00000000-0005-0000-0000-000094380000}"/>
    <cellStyle name="Tulostus 10 2 2" xfId="14229" xr:uid="{00000000-0005-0000-0000-000095380000}"/>
    <cellStyle name="Tulostus 10 2 3" xfId="14230" xr:uid="{00000000-0005-0000-0000-000096380000}"/>
    <cellStyle name="Tulostus 10 3" xfId="14231" xr:uid="{00000000-0005-0000-0000-000097380000}"/>
    <cellStyle name="Tulostus 10 4" xfId="14232" xr:uid="{00000000-0005-0000-0000-000098380000}"/>
    <cellStyle name="Tulostus 11" xfId="14233" xr:uid="{00000000-0005-0000-0000-000099380000}"/>
    <cellStyle name="Tulostus 11 2" xfId="14234" xr:uid="{00000000-0005-0000-0000-00009A380000}"/>
    <cellStyle name="Tulostus 11 2 2" xfId="14235" xr:uid="{00000000-0005-0000-0000-00009B380000}"/>
    <cellStyle name="Tulostus 11 2 3" xfId="14236" xr:uid="{00000000-0005-0000-0000-00009C380000}"/>
    <cellStyle name="Tulostus 11 3" xfId="14237" xr:uid="{00000000-0005-0000-0000-00009D380000}"/>
    <cellStyle name="Tulostus 11 4" xfId="14238" xr:uid="{00000000-0005-0000-0000-00009E380000}"/>
    <cellStyle name="Tulostus 12" xfId="14239" xr:uid="{00000000-0005-0000-0000-00009F380000}"/>
    <cellStyle name="Tulostus 12 2" xfId="14240" xr:uid="{00000000-0005-0000-0000-0000A0380000}"/>
    <cellStyle name="Tulostus 12 2 2" xfId="14241" xr:uid="{00000000-0005-0000-0000-0000A1380000}"/>
    <cellStyle name="Tulostus 12 2 3" xfId="14242" xr:uid="{00000000-0005-0000-0000-0000A2380000}"/>
    <cellStyle name="Tulostus 12 3" xfId="14243" xr:uid="{00000000-0005-0000-0000-0000A3380000}"/>
    <cellStyle name="Tulostus 12 4" xfId="14244" xr:uid="{00000000-0005-0000-0000-0000A4380000}"/>
    <cellStyle name="Tulostus 13" xfId="14245" xr:uid="{00000000-0005-0000-0000-0000A5380000}"/>
    <cellStyle name="Tulostus 13 2" xfId="14246" xr:uid="{00000000-0005-0000-0000-0000A6380000}"/>
    <cellStyle name="Tulostus 13 2 2" xfId="14247" xr:uid="{00000000-0005-0000-0000-0000A7380000}"/>
    <cellStyle name="Tulostus 13 2 3" xfId="14248" xr:uid="{00000000-0005-0000-0000-0000A8380000}"/>
    <cellStyle name="Tulostus 13 3" xfId="14249" xr:uid="{00000000-0005-0000-0000-0000A9380000}"/>
    <cellStyle name="Tulostus 13 4" xfId="14250" xr:uid="{00000000-0005-0000-0000-0000AA380000}"/>
    <cellStyle name="Tulostus 14" xfId="14251" xr:uid="{00000000-0005-0000-0000-0000AB380000}"/>
    <cellStyle name="Tulostus 14 2" xfId="14252" xr:uid="{00000000-0005-0000-0000-0000AC380000}"/>
    <cellStyle name="Tulostus 14 2 2" xfId="14253" xr:uid="{00000000-0005-0000-0000-0000AD380000}"/>
    <cellStyle name="Tulostus 14 2 3" xfId="14254" xr:uid="{00000000-0005-0000-0000-0000AE380000}"/>
    <cellStyle name="Tulostus 14 3" xfId="14255" xr:uid="{00000000-0005-0000-0000-0000AF380000}"/>
    <cellStyle name="Tulostus 14 4" xfId="14256" xr:uid="{00000000-0005-0000-0000-0000B0380000}"/>
    <cellStyle name="Tulostus 15" xfId="14257" xr:uid="{00000000-0005-0000-0000-0000B1380000}"/>
    <cellStyle name="Tulostus 15 2" xfId="14258" xr:uid="{00000000-0005-0000-0000-0000B2380000}"/>
    <cellStyle name="Tulostus 15 2 2" xfId="14259" xr:uid="{00000000-0005-0000-0000-0000B3380000}"/>
    <cellStyle name="Tulostus 15 2 3" xfId="14260" xr:uid="{00000000-0005-0000-0000-0000B4380000}"/>
    <cellStyle name="Tulostus 15 3" xfId="14261" xr:uid="{00000000-0005-0000-0000-0000B5380000}"/>
    <cellStyle name="Tulostus 15 4" xfId="14262" xr:uid="{00000000-0005-0000-0000-0000B6380000}"/>
    <cellStyle name="Tulostus 16" xfId="14263" xr:uid="{00000000-0005-0000-0000-0000B7380000}"/>
    <cellStyle name="Tulostus 17" xfId="14264" xr:uid="{00000000-0005-0000-0000-0000B8380000}"/>
    <cellStyle name="Tulostus 18" xfId="14265" xr:uid="{00000000-0005-0000-0000-0000B9380000}"/>
    <cellStyle name="Tulostus 19" xfId="14266" xr:uid="{00000000-0005-0000-0000-0000BA380000}"/>
    <cellStyle name="Tulostus 2" xfId="14267" xr:uid="{00000000-0005-0000-0000-0000BB380000}"/>
    <cellStyle name="Tulostus 2 2" xfId="14268" xr:uid="{00000000-0005-0000-0000-0000BC380000}"/>
    <cellStyle name="Tulostus 2 2 2" xfId="14269" xr:uid="{00000000-0005-0000-0000-0000BD380000}"/>
    <cellStyle name="Tulostus 2 2 3" xfId="14270" xr:uid="{00000000-0005-0000-0000-0000BE380000}"/>
    <cellStyle name="Tulostus 2 3" xfId="14271" xr:uid="{00000000-0005-0000-0000-0000BF380000}"/>
    <cellStyle name="Tulostus 2 4" xfId="14272" xr:uid="{00000000-0005-0000-0000-0000C0380000}"/>
    <cellStyle name="Tulostus 3" xfId="14273" xr:uid="{00000000-0005-0000-0000-0000C1380000}"/>
    <cellStyle name="Tulostus 3 2" xfId="14274" xr:uid="{00000000-0005-0000-0000-0000C2380000}"/>
    <cellStyle name="Tulostus 3 2 2" xfId="14275" xr:uid="{00000000-0005-0000-0000-0000C3380000}"/>
    <cellStyle name="Tulostus 3 2 3" xfId="14276" xr:uid="{00000000-0005-0000-0000-0000C4380000}"/>
    <cellStyle name="Tulostus 3 3" xfId="14277" xr:uid="{00000000-0005-0000-0000-0000C5380000}"/>
    <cellStyle name="Tulostus 3 4" xfId="14278" xr:uid="{00000000-0005-0000-0000-0000C6380000}"/>
    <cellStyle name="Tulostus 4" xfId="14279" xr:uid="{00000000-0005-0000-0000-0000C7380000}"/>
    <cellStyle name="Tulostus 4 2" xfId="14280" xr:uid="{00000000-0005-0000-0000-0000C8380000}"/>
    <cellStyle name="Tulostus 4 2 2" xfId="14281" xr:uid="{00000000-0005-0000-0000-0000C9380000}"/>
    <cellStyle name="Tulostus 4 2 3" xfId="14282" xr:uid="{00000000-0005-0000-0000-0000CA380000}"/>
    <cellStyle name="Tulostus 4 3" xfId="14283" xr:uid="{00000000-0005-0000-0000-0000CB380000}"/>
    <cellStyle name="Tulostus 4 4" xfId="14284" xr:uid="{00000000-0005-0000-0000-0000CC380000}"/>
    <cellStyle name="Tulostus 5" xfId="14285" xr:uid="{00000000-0005-0000-0000-0000CD380000}"/>
    <cellStyle name="Tulostus 5 2" xfId="14286" xr:uid="{00000000-0005-0000-0000-0000CE380000}"/>
    <cellStyle name="Tulostus 5 2 2" xfId="14287" xr:uid="{00000000-0005-0000-0000-0000CF380000}"/>
    <cellStyle name="Tulostus 5 2 3" xfId="14288" xr:uid="{00000000-0005-0000-0000-0000D0380000}"/>
    <cellStyle name="Tulostus 5 3" xfId="14289" xr:uid="{00000000-0005-0000-0000-0000D1380000}"/>
    <cellStyle name="Tulostus 5 4" xfId="14290" xr:uid="{00000000-0005-0000-0000-0000D2380000}"/>
    <cellStyle name="Tulostus 6" xfId="14291" xr:uid="{00000000-0005-0000-0000-0000D3380000}"/>
    <cellStyle name="Tulostus 6 2" xfId="14292" xr:uid="{00000000-0005-0000-0000-0000D4380000}"/>
    <cellStyle name="Tulostus 6 2 2" xfId="14293" xr:uid="{00000000-0005-0000-0000-0000D5380000}"/>
    <cellStyle name="Tulostus 6 2 3" xfId="14294" xr:uid="{00000000-0005-0000-0000-0000D6380000}"/>
    <cellStyle name="Tulostus 6 3" xfId="14295" xr:uid="{00000000-0005-0000-0000-0000D7380000}"/>
    <cellStyle name="Tulostus 6 4" xfId="14296" xr:uid="{00000000-0005-0000-0000-0000D8380000}"/>
    <cellStyle name="Tulostus 7" xfId="14297" xr:uid="{00000000-0005-0000-0000-0000D9380000}"/>
    <cellStyle name="Tulostus 7 2" xfId="14298" xr:uid="{00000000-0005-0000-0000-0000DA380000}"/>
    <cellStyle name="Tulostus 7 2 2" xfId="14299" xr:uid="{00000000-0005-0000-0000-0000DB380000}"/>
    <cellStyle name="Tulostus 7 2 3" xfId="14300" xr:uid="{00000000-0005-0000-0000-0000DC380000}"/>
    <cellStyle name="Tulostus 7 3" xfId="14301" xr:uid="{00000000-0005-0000-0000-0000DD380000}"/>
    <cellStyle name="Tulostus 7 4" xfId="14302" xr:uid="{00000000-0005-0000-0000-0000DE380000}"/>
    <cellStyle name="Tulostus 8" xfId="14303" xr:uid="{00000000-0005-0000-0000-0000DF380000}"/>
    <cellStyle name="Tulostus 8 2" xfId="14304" xr:uid="{00000000-0005-0000-0000-0000E0380000}"/>
    <cellStyle name="Tulostus 8 2 2" xfId="14305" xr:uid="{00000000-0005-0000-0000-0000E1380000}"/>
    <cellStyle name="Tulostus 8 2 3" xfId="14306" xr:uid="{00000000-0005-0000-0000-0000E2380000}"/>
    <cellStyle name="Tulostus 8 3" xfId="14307" xr:uid="{00000000-0005-0000-0000-0000E3380000}"/>
    <cellStyle name="Tulostus 8 4" xfId="14308" xr:uid="{00000000-0005-0000-0000-0000E4380000}"/>
    <cellStyle name="Tulostus 9" xfId="14309" xr:uid="{00000000-0005-0000-0000-0000E5380000}"/>
    <cellStyle name="Tulostus 9 2" xfId="14310" xr:uid="{00000000-0005-0000-0000-0000E6380000}"/>
    <cellStyle name="Tulostus 9 2 2" xfId="14311" xr:uid="{00000000-0005-0000-0000-0000E7380000}"/>
    <cellStyle name="Tulostus 9 2 3" xfId="14312" xr:uid="{00000000-0005-0000-0000-0000E8380000}"/>
    <cellStyle name="Tulostus 9 3" xfId="14313" xr:uid="{00000000-0005-0000-0000-0000E9380000}"/>
    <cellStyle name="Tulostus 9 4" xfId="14314" xr:uid="{00000000-0005-0000-0000-0000EA380000}"/>
    <cellStyle name="Tulostus_PGM_CHECK" xfId="14903" xr:uid="{00000000-0005-0000-0000-0000EB380000}"/>
    <cellStyle name="Tusental (0)_Blad1" xfId="14315" xr:uid="{00000000-0005-0000-0000-0000EC380000}"/>
    <cellStyle name="Tusental 2" xfId="14316" xr:uid="{00000000-0005-0000-0000-0000ED380000}"/>
    <cellStyle name="Tusental 2 2" xfId="14317" xr:uid="{00000000-0005-0000-0000-0000EE380000}"/>
    <cellStyle name="Tytuł" xfId="14318" xr:uid="{00000000-0005-0000-0000-0000EF380000}"/>
    <cellStyle name="Tytuł 2" xfId="14319" xr:uid="{00000000-0005-0000-0000-0000F0380000}"/>
    <cellStyle name="Ugyldig" xfId="14326" xr:uid="{00000000-0005-0000-0000-0000F7380000}"/>
    <cellStyle name="Under Construction Flag" xfId="14327" xr:uid="{00000000-0005-0000-0000-0000F8380000}"/>
    <cellStyle name="Under Construction Flag 2" xfId="14328" xr:uid="{00000000-0005-0000-0000-0000F9380000}"/>
    <cellStyle name="Under Construction Flag 3" xfId="14329" xr:uid="{00000000-0005-0000-0000-0000FA380000}"/>
    <cellStyle name="Unit" xfId="14330" xr:uid="{00000000-0005-0000-0000-0000FB380000}"/>
    <cellStyle name="UserInstructions" xfId="14331" xr:uid="{00000000-0005-0000-0000-0000FC380000}"/>
    <cellStyle name="Utdata" xfId="14332" xr:uid="{00000000-0005-0000-0000-0000FD380000}"/>
    <cellStyle name="Utdata 10" xfId="14333" xr:uid="{00000000-0005-0000-0000-0000FE380000}"/>
    <cellStyle name="Utdata 10 2" xfId="14334" xr:uid="{00000000-0005-0000-0000-0000FF380000}"/>
    <cellStyle name="Utdata 10 2 2" xfId="14335" xr:uid="{00000000-0005-0000-0000-000000390000}"/>
    <cellStyle name="Utdata 10 2 3" xfId="14336" xr:uid="{00000000-0005-0000-0000-000001390000}"/>
    <cellStyle name="Utdata 10 3" xfId="14337" xr:uid="{00000000-0005-0000-0000-000002390000}"/>
    <cellStyle name="Utdata 10 4" xfId="14338" xr:uid="{00000000-0005-0000-0000-000003390000}"/>
    <cellStyle name="Utdata 11" xfId="14339" xr:uid="{00000000-0005-0000-0000-000004390000}"/>
    <cellStyle name="Utdata 11 2" xfId="14340" xr:uid="{00000000-0005-0000-0000-000005390000}"/>
    <cellStyle name="Utdata 11 2 2" xfId="14341" xr:uid="{00000000-0005-0000-0000-000006390000}"/>
    <cellStyle name="Utdata 11 2 3" xfId="14342" xr:uid="{00000000-0005-0000-0000-000007390000}"/>
    <cellStyle name="Utdata 11 3" xfId="14343" xr:uid="{00000000-0005-0000-0000-000008390000}"/>
    <cellStyle name="Utdata 11 4" xfId="14344" xr:uid="{00000000-0005-0000-0000-000009390000}"/>
    <cellStyle name="Utdata 12" xfId="14345" xr:uid="{00000000-0005-0000-0000-00000A390000}"/>
    <cellStyle name="Utdata 12 2" xfId="14346" xr:uid="{00000000-0005-0000-0000-00000B390000}"/>
    <cellStyle name="Utdata 12 2 2" xfId="14347" xr:uid="{00000000-0005-0000-0000-00000C390000}"/>
    <cellStyle name="Utdata 12 2 3" xfId="14348" xr:uid="{00000000-0005-0000-0000-00000D390000}"/>
    <cellStyle name="Utdata 12 3" xfId="14349" xr:uid="{00000000-0005-0000-0000-00000E390000}"/>
    <cellStyle name="Utdata 12 4" xfId="14350" xr:uid="{00000000-0005-0000-0000-00000F390000}"/>
    <cellStyle name="Utdata 13" xfId="14351" xr:uid="{00000000-0005-0000-0000-000010390000}"/>
    <cellStyle name="Utdata 13 2" xfId="14352" xr:uid="{00000000-0005-0000-0000-000011390000}"/>
    <cellStyle name="Utdata 13 2 2" xfId="14353" xr:uid="{00000000-0005-0000-0000-000012390000}"/>
    <cellStyle name="Utdata 13 2 3" xfId="14354" xr:uid="{00000000-0005-0000-0000-000013390000}"/>
    <cellStyle name="Utdata 13 3" xfId="14355" xr:uid="{00000000-0005-0000-0000-000014390000}"/>
    <cellStyle name="Utdata 13 4" xfId="14356" xr:uid="{00000000-0005-0000-0000-000015390000}"/>
    <cellStyle name="Utdata 14" xfId="14357" xr:uid="{00000000-0005-0000-0000-000016390000}"/>
    <cellStyle name="Utdata 14 2" xfId="14358" xr:uid="{00000000-0005-0000-0000-000017390000}"/>
    <cellStyle name="Utdata 14 2 2" xfId="14359" xr:uid="{00000000-0005-0000-0000-000018390000}"/>
    <cellStyle name="Utdata 14 2 3" xfId="14360" xr:uid="{00000000-0005-0000-0000-000019390000}"/>
    <cellStyle name="Utdata 14 3" xfId="14361" xr:uid="{00000000-0005-0000-0000-00001A390000}"/>
    <cellStyle name="Utdata 14 4" xfId="14362" xr:uid="{00000000-0005-0000-0000-00001B390000}"/>
    <cellStyle name="Utdata 15" xfId="14363" xr:uid="{00000000-0005-0000-0000-00001C390000}"/>
    <cellStyle name="Utdata 15 2" xfId="14364" xr:uid="{00000000-0005-0000-0000-00001D390000}"/>
    <cellStyle name="Utdata 15 2 2" xfId="14365" xr:uid="{00000000-0005-0000-0000-00001E390000}"/>
    <cellStyle name="Utdata 15 2 3" xfId="14366" xr:uid="{00000000-0005-0000-0000-00001F390000}"/>
    <cellStyle name="Utdata 15 3" xfId="14367" xr:uid="{00000000-0005-0000-0000-000020390000}"/>
    <cellStyle name="Utdata 15 4" xfId="14368" xr:uid="{00000000-0005-0000-0000-000021390000}"/>
    <cellStyle name="Utdata 16" xfId="14369" xr:uid="{00000000-0005-0000-0000-000022390000}"/>
    <cellStyle name="Utdata 17" xfId="14370" xr:uid="{00000000-0005-0000-0000-000023390000}"/>
    <cellStyle name="Utdata 18" xfId="14371" xr:uid="{00000000-0005-0000-0000-000024390000}"/>
    <cellStyle name="Utdata 19" xfId="14372" xr:uid="{00000000-0005-0000-0000-000025390000}"/>
    <cellStyle name="Utdata 2" xfId="14373" xr:uid="{00000000-0005-0000-0000-000026390000}"/>
    <cellStyle name="Utdata 2 2" xfId="14374" xr:uid="{00000000-0005-0000-0000-000027390000}"/>
    <cellStyle name="Utdata 2 2 2" xfId="14375" xr:uid="{00000000-0005-0000-0000-000028390000}"/>
    <cellStyle name="Utdata 2 2 3" xfId="14376" xr:uid="{00000000-0005-0000-0000-000029390000}"/>
    <cellStyle name="Utdata 2 3" xfId="14377" xr:uid="{00000000-0005-0000-0000-00002A390000}"/>
    <cellStyle name="Utdata 2 4" xfId="14378" xr:uid="{00000000-0005-0000-0000-00002B390000}"/>
    <cellStyle name="Utdata 3" xfId="14379" xr:uid="{00000000-0005-0000-0000-00002C390000}"/>
    <cellStyle name="Utdata 3 2" xfId="14380" xr:uid="{00000000-0005-0000-0000-00002D390000}"/>
    <cellStyle name="Utdata 3 2 2" xfId="14381" xr:uid="{00000000-0005-0000-0000-00002E390000}"/>
    <cellStyle name="Utdata 3 2 3" xfId="14382" xr:uid="{00000000-0005-0000-0000-00002F390000}"/>
    <cellStyle name="Utdata 3 3" xfId="14383" xr:uid="{00000000-0005-0000-0000-000030390000}"/>
    <cellStyle name="Utdata 3 4" xfId="14384" xr:uid="{00000000-0005-0000-0000-000031390000}"/>
    <cellStyle name="Utdata 4" xfId="14385" xr:uid="{00000000-0005-0000-0000-000032390000}"/>
    <cellStyle name="Utdata 4 2" xfId="14386" xr:uid="{00000000-0005-0000-0000-000033390000}"/>
    <cellStyle name="Utdata 4 2 2" xfId="14387" xr:uid="{00000000-0005-0000-0000-000034390000}"/>
    <cellStyle name="Utdata 4 2 3" xfId="14388" xr:uid="{00000000-0005-0000-0000-000035390000}"/>
    <cellStyle name="Utdata 4 3" xfId="14389" xr:uid="{00000000-0005-0000-0000-000036390000}"/>
    <cellStyle name="Utdata 4 4" xfId="14390" xr:uid="{00000000-0005-0000-0000-000037390000}"/>
    <cellStyle name="Utdata 5" xfId="14391" xr:uid="{00000000-0005-0000-0000-000038390000}"/>
    <cellStyle name="Utdata 5 2" xfId="14392" xr:uid="{00000000-0005-0000-0000-000039390000}"/>
    <cellStyle name="Utdata 5 2 2" xfId="14393" xr:uid="{00000000-0005-0000-0000-00003A390000}"/>
    <cellStyle name="Utdata 5 2 3" xfId="14394" xr:uid="{00000000-0005-0000-0000-00003B390000}"/>
    <cellStyle name="Utdata 5 3" xfId="14395" xr:uid="{00000000-0005-0000-0000-00003C390000}"/>
    <cellStyle name="Utdata 5 4" xfId="14396" xr:uid="{00000000-0005-0000-0000-00003D390000}"/>
    <cellStyle name="Utdata 6" xfId="14397" xr:uid="{00000000-0005-0000-0000-00003E390000}"/>
    <cellStyle name="Utdata 6 2" xfId="14398" xr:uid="{00000000-0005-0000-0000-00003F390000}"/>
    <cellStyle name="Utdata 6 2 2" xfId="14399" xr:uid="{00000000-0005-0000-0000-000040390000}"/>
    <cellStyle name="Utdata 6 2 3" xfId="14400" xr:uid="{00000000-0005-0000-0000-000041390000}"/>
    <cellStyle name="Utdata 6 3" xfId="14401" xr:uid="{00000000-0005-0000-0000-000042390000}"/>
    <cellStyle name="Utdata 6 4" xfId="14402" xr:uid="{00000000-0005-0000-0000-000043390000}"/>
    <cellStyle name="Utdata 7" xfId="14403" xr:uid="{00000000-0005-0000-0000-000044390000}"/>
    <cellStyle name="Utdata 7 2" xfId="14404" xr:uid="{00000000-0005-0000-0000-000045390000}"/>
    <cellStyle name="Utdata 7 2 2" xfId="14405" xr:uid="{00000000-0005-0000-0000-000046390000}"/>
    <cellStyle name="Utdata 7 2 3" xfId="14406" xr:uid="{00000000-0005-0000-0000-000047390000}"/>
    <cellStyle name="Utdata 7 3" xfId="14407" xr:uid="{00000000-0005-0000-0000-000048390000}"/>
    <cellStyle name="Utdata 7 4" xfId="14408" xr:uid="{00000000-0005-0000-0000-000049390000}"/>
    <cellStyle name="Utdata 8" xfId="14409" xr:uid="{00000000-0005-0000-0000-00004A390000}"/>
    <cellStyle name="Utdata 8 2" xfId="14410" xr:uid="{00000000-0005-0000-0000-00004B390000}"/>
    <cellStyle name="Utdata 8 2 2" xfId="14411" xr:uid="{00000000-0005-0000-0000-00004C390000}"/>
    <cellStyle name="Utdata 8 2 3" xfId="14412" xr:uid="{00000000-0005-0000-0000-00004D390000}"/>
    <cellStyle name="Utdata 8 3" xfId="14413" xr:uid="{00000000-0005-0000-0000-00004E390000}"/>
    <cellStyle name="Utdata 8 4" xfId="14414" xr:uid="{00000000-0005-0000-0000-00004F390000}"/>
    <cellStyle name="Utdata 9" xfId="14415" xr:uid="{00000000-0005-0000-0000-000050390000}"/>
    <cellStyle name="Utdata 9 2" xfId="14416" xr:uid="{00000000-0005-0000-0000-000051390000}"/>
    <cellStyle name="Utdata 9 2 2" xfId="14417" xr:uid="{00000000-0005-0000-0000-000052390000}"/>
    <cellStyle name="Utdata 9 2 3" xfId="14418" xr:uid="{00000000-0005-0000-0000-000053390000}"/>
    <cellStyle name="Utdata 9 3" xfId="14419" xr:uid="{00000000-0005-0000-0000-000054390000}"/>
    <cellStyle name="Utdata 9 4" xfId="14420" xr:uid="{00000000-0005-0000-0000-000055390000}"/>
    <cellStyle name="Utdata_PGM_CHECK" xfId="14904" xr:uid="{00000000-0005-0000-0000-000056390000}"/>
    <cellStyle name="Uthevingsfarge1" xfId="14668" builtinId="29" customBuiltin="1"/>
    <cellStyle name="Uthevingsfarge2" xfId="2" builtinId="33" customBuiltin="1"/>
    <cellStyle name="Uthevingsfarge3" xfId="14669" builtinId="37" customBuiltin="1"/>
    <cellStyle name="Uthevingsfarge4" xfId="14670" builtinId="41" customBuiltin="1"/>
    <cellStyle name="Uthevingsfarge5" xfId="14671" builtinId="45" customBuiltin="1"/>
    <cellStyle name="Uthevingsfarge6" xfId="3" builtinId="49" customBuiltin="1"/>
    <cellStyle name="Uwaga" xfId="14421" xr:uid="{00000000-0005-0000-0000-000057390000}"/>
    <cellStyle name="Uwaga 2" xfId="14422" xr:uid="{00000000-0005-0000-0000-000058390000}"/>
    <cellStyle name="Uwaga 2 2" xfId="14423" xr:uid="{00000000-0005-0000-0000-000059390000}"/>
    <cellStyle name="Uwaga 2 3" xfId="14424" xr:uid="{00000000-0005-0000-0000-00005A390000}"/>
    <cellStyle name="Uwaga 3" xfId="14425" xr:uid="{00000000-0005-0000-0000-00005B390000}"/>
    <cellStyle name="Uwaga 3 2" xfId="14426" xr:uid="{00000000-0005-0000-0000-00005C390000}"/>
    <cellStyle name="Uwaga 3 3" xfId="14427" xr:uid="{00000000-0005-0000-0000-00005D390000}"/>
    <cellStyle name="Uwaga 4" xfId="14428" xr:uid="{00000000-0005-0000-0000-00005E390000}"/>
    <cellStyle name="Uwaga 5" xfId="14429" xr:uid="{00000000-0005-0000-0000-00005F390000}"/>
    <cellStyle name="Valore non valido 2" xfId="14525" xr:uid="{00000000-0005-0000-0000-0000BF390000}"/>
    <cellStyle name="Valore non valido 3" xfId="14526" xr:uid="{00000000-0005-0000-0000-0000C0390000}"/>
    <cellStyle name="Valore valido 2" xfId="14527" xr:uid="{00000000-0005-0000-0000-0000C1390000}"/>
    <cellStyle name="Valore valido 3" xfId="14528" xr:uid="{00000000-0005-0000-0000-0000C2390000}"/>
    <cellStyle name="Value_QMS" xfId="14529" xr:uid="{00000000-0005-0000-0000-0000C3390000}"/>
    <cellStyle name="Valuta (0)_Blad1" xfId="14530" xr:uid="{00000000-0005-0000-0000-0000C4390000}"/>
    <cellStyle name="Valuta 2" xfId="14531" xr:uid="{00000000-0005-0000-0000-0000C5390000}"/>
    <cellStyle name="Valuta 2 2" xfId="14532" xr:uid="{00000000-0005-0000-0000-0000C6390000}"/>
    <cellStyle name="Valuutta_Layo9704" xfId="14533" xr:uid="{00000000-0005-0000-0000-0000C7390000}"/>
    <cellStyle name="Varningstext" xfId="14534" xr:uid="{00000000-0005-0000-0000-0000C8390000}"/>
    <cellStyle name="Varoitusteksti" xfId="14535" xr:uid="{00000000-0005-0000-0000-0000C9390000}"/>
    <cellStyle name="Varseltekst" xfId="14560" builtinId="11" customBuiltin="1"/>
    <cellStyle name="Vérification 2" xfId="14536" xr:uid="{00000000-0005-0000-0000-0000CA390000}"/>
    <cellStyle name="Vérification 2 2" xfId="14537" xr:uid="{00000000-0005-0000-0000-0000CB390000}"/>
    <cellStyle name="Vérification 2_130725 DSNA 2011 Dossier de révision initial" xfId="14538" xr:uid="{00000000-0005-0000-0000-0000CC390000}"/>
    <cellStyle name="Vérification 3" xfId="14539" xr:uid="{00000000-0005-0000-0000-0000CD390000}"/>
    <cellStyle name="Vérification 3 2" xfId="14540" xr:uid="{00000000-0005-0000-0000-0000CE390000}"/>
    <cellStyle name="Vérification 4" xfId="14541" xr:uid="{00000000-0005-0000-0000-0000CF390000}"/>
    <cellStyle name="Vérification 5" xfId="14542" xr:uid="{00000000-0005-0000-0000-0000D0390000}"/>
    <cellStyle name="Vérification de cellule" xfId="14543" xr:uid="{00000000-0005-0000-0000-0000D1390000}"/>
    <cellStyle name="Verknüpfte Zelle" xfId="14544" xr:uid="{00000000-0005-0000-0000-0000D2390000}"/>
    <cellStyle name="vert" xfId="14545" xr:uid="{00000000-0005-0000-0000-0000D3390000}"/>
    <cellStyle name="Very Large" xfId="14546" xr:uid="{00000000-0005-0000-0000-0000D4390000}"/>
    <cellStyle name="Vstup" xfId="14547" xr:uid="{00000000-0005-0000-0000-0000D5390000}"/>
    <cellStyle name="Vstup 2" xfId="14548" xr:uid="{00000000-0005-0000-0000-0000D6390000}"/>
    <cellStyle name="Vstup 3" xfId="14549" xr:uid="{00000000-0005-0000-0000-0000D7390000}"/>
    <cellStyle name="Výpočet" xfId="14550" xr:uid="{00000000-0005-0000-0000-0000D8390000}"/>
    <cellStyle name="Výpočet 2" xfId="14551" xr:uid="{00000000-0005-0000-0000-0000D9390000}"/>
    <cellStyle name="Výpočet 3" xfId="14552" xr:uid="{00000000-0005-0000-0000-0000DA390000}"/>
    <cellStyle name="Výstup" xfId="14553" xr:uid="{00000000-0005-0000-0000-0000DB390000}"/>
    <cellStyle name="Výstup 2" xfId="14554" xr:uid="{00000000-0005-0000-0000-0000DC390000}"/>
    <cellStyle name="Výstup 3" xfId="14555" xr:uid="{00000000-0005-0000-0000-0000DD390000}"/>
    <cellStyle name="Vysvětlující text" xfId="14556" xr:uid="{00000000-0005-0000-0000-0000DE390000}"/>
    <cellStyle name="Väljund" xfId="14430" xr:uid="{00000000-0005-0000-0000-000060390000}"/>
    <cellStyle name="Väljund 10" xfId="14431" xr:uid="{00000000-0005-0000-0000-000061390000}"/>
    <cellStyle name="Väljund 10 2" xfId="14432" xr:uid="{00000000-0005-0000-0000-000062390000}"/>
    <cellStyle name="Väljund 10 2 2" xfId="14433" xr:uid="{00000000-0005-0000-0000-000063390000}"/>
    <cellStyle name="Väljund 10 2 3" xfId="14434" xr:uid="{00000000-0005-0000-0000-000064390000}"/>
    <cellStyle name="Väljund 10 3" xfId="14435" xr:uid="{00000000-0005-0000-0000-000065390000}"/>
    <cellStyle name="Väljund 10 4" xfId="14436" xr:uid="{00000000-0005-0000-0000-000066390000}"/>
    <cellStyle name="Väljund 11" xfId="14437" xr:uid="{00000000-0005-0000-0000-000067390000}"/>
    <cellStyle name="Väljund 11 2" xfId="14438" xr:uid="{00000000-0005-0000-0000-000068390000}"/>
    <cellStyle name="Väljund 11 2 2" xfId="14439" xr:uid="{00000000-0005-0000-0000-000069390000}"/>
    <cellStyle name="Väljund 11 2 3" xfId="14440" xr:uid="{00000000-0005-0000-0000-00006A390000}"/>
    <cellStyle name="Väljund 11 3" xfId="14441" xr:uid="{00000000-0005-0000-0000-00006B390000}"/>
    <cellStyle name="Väljund 11 4" xfId="14442" xr:uid="{00000000-0005-0000-0000-00006C390000}"/>
    <cellStyle name="Väljund 12" xfId="14443" xr:uid="{00000000-0005-0000-0000-00006D390000}"/>
    <cellStyle name="Väljund 12 2" xfId="14444" xr:uid="{00000000-0005-0000-0000-00006E390000}"/>
    <cellStyle name="Väljund 12 2 2" xfId="14445" xr:uid="{00000000-0005-0000-0000-00006F390000}"/>
    <cellStyle name="Väljund 12 2 3" xfId="14446" xr:uid="{00000000-0005-0000-0000-000070390000}"/>
    <cellStyle name="Väljund 12 3" xfId="14447" xr:uid="{00000000-0005-0000-0000-000071390000}"/>
    <cellStyle name="Väljund 12 4" xfId="14448" xr:uid="{00000000-0005-0000-0000-000072390000}"/>
    <cellStyle name="Väljund 13" xfId="14449" xr:uid="{00000000-0005-0000-0000-000073390000}"/>
    <cellStyle name="Väljund 13 2" xfId="14450" xr:uid="{00000000-0005-0000-0000-000074390000}"/>
    <cellStyle name="Väljund 13 2 2" xfId="14451" xr:uid="{00000000-0005-0000-0000-000075390000}"/>
    <cellStyle name="Väljund 13 2 3" xfId="14452" xr:uid="{00000000-0005-0000-0000-000076390000}"/>
    <cellStyle name="Väljund 13 3" xfId="14453" xr:uid="{00000000-0005-0000-0000-000077390000}"/>
    <cellStyle name="Väljund 13 4" xfId="14454" xr:uid="{00000000-0005-0000-0000-000078390000}"/>
    <cellStyle name="Väljund 14" xfId="14455" xr:uid="{00000000-0005-0000-0000-000079390000}"/>
    <cellStyle name="Väljund 14 2" xfId="14456" xr:uid="{00000000-0005-0000-0000-00007A390000}"/>
    <cellStyle name="Väljund 14 2 2" xfId="14457" xr:uid="{00000000-0005-0000-0000-00007B390000}"/>
    <cellStyle name="Väljund 14 2 3" xfId="14458" xr:uid="{00000000-0005-0000-0000-00007C390000}"/>
    <cellStyle name="Väljund 14 3" xfId="14459" xr:uid="{00000000-0005-0000-0000-00007D390000}"/>
    <cellStyle name="Väljund 14 4" xfId="14460" xr:uid="{00000000-0005-0000-0000-00007E390000}"/>
    <cellStyle name="Väljund 15" xfId="14461" xr:uid="{00000000-0005-0000-0000-00007F390000}"/>
    <cellStyle name="Väljund 15 2" xfId="14462" xr:uid="{00000000-0005-0000-0000-000080390000}"/>
    <cellStyle name="Väljund 15 2 2" xfId="14463" xr:uid="{00000000-0005-0000-0000-000081390000}"/>
    <cellStyle name="Väljund 15 2 3" xfId="14464" xr:uid="{00000000-0005-0000-0000-000082390000}"/>
    <cellStyle name="Väljund 15 3" xfId="14465" xr:uid="{00000000-0005-0000-0000-000083390000}"/>
    <cellStyle name="Väljund 15 4" xfId="14466" xr:uid="{00000000-0005-0000-0000-000084390000}"/>
    <cellStyle name="Väljund 16" xfId="14467" xr:uid="{00000000-0005-0000-0000-000085390000}"/>
    <cellStyle name="Väljund 16 2" xfId="14468" xr:uid="{00000000-0005-0000-0000-000086390000}"/>
    <cellStyle name="Väljund 16 3" xfId="14469" xr:uid="{00000000-0005-0000-0000-000087390000}"/>
    <cellStyle name="Väljund 17" xfId="14470" xr:uid="{00000000-0005-0000-0000-000088390000}"/>
    <cellStyle name="Väljund 18" xfId="14471" xr:uid="{00000000-0005-0000-0000-000089390000}"/>
    <cellStyle name="Väljund 19" xfId="14472" xr:uid="{00000000-0005-0000-0000-00008A390000}"/>
    <cellStyle name="Väljund 2" xfId="14473" xr:uid="{00000000-0005-0000-0000-00008B390000}"/>
    <cellStyle name="Väljund 2 2" xfId="14474" xr:uid="{00000000-0005-0000-0000-00008C390000}"/>
    <cellStyle name="Väljund 2 2 2" xfId="14475" xr:uid="{00000000-0005-0000-0000-00008D390000}"/>
    <cellStyle name="Väljund 2 2 3" xfId="14476" xr:uid="{00000000-0005-0000-0000-00008E390000}"/>
    <cellStyle name="Väljund 2 3" xfId="14477" xr:uid="{00000000-0005-0000-0000-00008F390000}"/>
    <cellStyle name="Väljund 2 3 2" xfId="14478" xr:uid="{00000000-0005-0000-0000-000090390000}"/>
    <cellStyle name="Väljund 2 3 3" xfId="14479" xr:uid="{00000000-0005-0000-0000-000091390000}"/>
    <cellStyle name="Väljund 2 4" xfId="14480" xr:uid="{00000000-0005-0000-0000-000092390000}"/>
    <cellStyle name="Väljund 2 5" xfId="14481" xr:uid="{00000000-0005-0000-0000-000093390000}"/>
    <cellStyle name="Väljund 20" xfId="14482" xr:uid="{00000000-0005-0000-0000-000094390000}"/>
    <cellStyle name="Väljund 3" xfId="14483" xr:uid="{00000000-0005-0000-0000-000095390000}"/>
    <cellStyle name="Väljund 3 2" xfId="14484" xr:uid="{00000000-0005-0000-0000-000096390000}"/>
    <cellStyle name="Väljund 3 2 2" xfId="14485" xr:uid="{00000000-0005-0000-0000-000097390000}"/>
    <cellStyle name="Väljund 3 2 3" xfId="14486" xr:uid="{00000000-0005-0000-0000-000098390000}"/>
    <cellStyle name="Väljund 3 3" xfId="14487" xr:uid="{00000000-0005-0000-0000-000099390000}"/>
    <cellStyle name="Väljund 3 4" xfId="14488" xr:uid="{00000000-0005-0000-0000-00009A390000}"/>
    <cellStyle name="Väljund 4" xfId="14489" xr:uid="{00000000-0005-0000-0000-00009B390000}"/>
    <cellStyle name="Väljund 4 2" xfId="14490" xr:uid="{00000000-0005-0000-0000-00009C390000}"/>
    <cellStyle name="Väljund 4 2 2" xfId="14491" xr:uid="{00000000-0005-0000-0000-00009D390000}"/>
    <cellStyle name="Väljund 4 2 3" xfId="14492" xr:uid="{00000000-0005-0000-0000-00009E390000}"/>
    <cellStyle name="Väljund 4 3" xfId="14493" xr:uid="{00000000-0005-0000-0000-00009F390000}"/>
    <cellStyle name="Väljund 4 4" xfId="14494" xr:uid="{00000000-0005-0000-0000-0000A0390000}"/>
    <cellStyle name="Väljund 5" xfId="14495" xr:uid="{00000000-0005-0000-0000-0000A1390000}"/>
    <cellStyle name="Väljund 5 2" xfId="14496" xr:uid="{00000000-0005-0000-0000-0000A2390000}"/>
    <cellStyle name="Väljund 5 2 2" xfId="14497" xr:uid="{00000000-0005-0000-0000-0000A3390000}"/>
    <cellStyle name="Väljund 5 2 3" xfId="14498" xr:uid="{00000000-0005-0000-0000-0000A4390000}"/>
    <cellStyle name="Väljund 5 3" xfId="14499" xr:uid="{00000000-0005-0000-0000-0000A5390000}"/>
    <cellStyle name="Väljund 5 4" xfId="14500" xr:uid="{00000000-0005-0000-0000-0000A6390000}"/>
    <cellStyle name="Väljund 6" xfId="14501" xr:uid="{00000000-0005-0000-0000-0000A7390000}"/>
    <cellStyle name="Väljund 6 2" xfId="14502" xr:uid="{00000000-0005-0000-0000-0000A8390000}"/>
    <cellStyle name="Väljund 6 2 2" xfId="14503" xr:uid="{00000000-0005-0000-0000-0000A9390000}"/>
    <cellStyle name="Väljund 6 2 3" xfId="14504" xr:uid="{00000000-0005-0000-0000-0000AA390000}"/>
    <cellStyle name="Väljund 6 3" xfId="14505" xr:uid="{00000000-0005-0000-0000-0000AB390000}"/>
    <cellStyle name="Väljund 6 4" xfId="14506" xr:uid="{00000000-0005-0000-0000-0000AC390000}"/>
    <cellStyle name="Väljund 7" xfId="14507" xr:uid="{00000000-0005-0000-0000-0000AD390000}"/>
    <cellStyle name="Väljund 7 2" xfId="14508" xr:uid="{00000000-0005-0000-0000-0000AE390000}"/>
    <cellStyle name="Väljund 7 2 2" xfId="14509" xr:uid="{00000000-0005-0000-0000-0000AF390000}"/>
    <cellStyle name="Väljund 7 2 3" xfId="14510" xr:uid="{00000000-0005-0000-0000-0000B0390000}"/>
    <cellStyle name="Väljund 7 3" xfId="14511" xr:uid="{00000000-0005-0000-0000-0000B1390000}"/>
    <cellStyle name="Väljund 7 4" xfId="14512" xr:uid="{00000000-0005-0000-0000-0000B2390000}"/>
    <cellStyle name="Väljund 8" xfId="14513" xr:uid="{00000000-0005-0000-0000-0000B3390000}"/>
    <cellStyle name="Väljund 8 2" xfId="14514" xr:uid="{00000000-0005-0000-0000-0000B4390000}"/>
    <cellStyle name="Väljund 8 2 2" xfId="14515" xr:uid="{00000000-0005-0000-0000-0000B5390000}"/>
    <cellStyle name="Väljund 8 2 3" xfId="14516" xr:uid="{00000000-0005-0000-0000-0000B6390000}"/>
    <cellStyle name="Väljund 8 3" xfId="14517" xr:uid="{00000000-0005-0000-0000-0000B7390000}"/>
    <cellStyle name="Väljund 8 4" xfId="14518" xr:uid="{00000000-0005-0000-0000-0000B8390000}"/>
    <cellStyle name="Väljund 9" xfId="14519" xr:uid="{00000000-0005-0000-0000-0000B9390000}"/>
    <cellStyle name="Väljund 9 2" xfId="14520" xr:uid="{00000000-0005-0000-0000-0000BA390000}"/>
    <cellStyle name="Väljund 9 2 2" xfId="14521" xr:uid="{00000000-0005-0000-0000-0000BB390000}"/>
    <cellStyle name="Väljund 9 2 3" xfId="14522" xr:uid="{00000000-0005-0000-0000-0000BC390000}"/>
    <cellStyle name="Väljund 9 3" xfId="14523" xr:uid="{00000000-0005-0000-0000-0000BD390000}"/>
    <cellStyle name="Väljund 9 4" xfId="14524" xr:uid="{00000000-0005-0000-0000-0000BE390000}"/>
    <cellStyle name="Warnender Text" xfId="14559" xr:uid="{00000000-0005-0000-0000-0000E1390000}"/>
    <cellStyle name="Warning Text 2" xfId="14561" xr:uid="{00000000-0005-0000-0000-0000E3390000}"/>
    <cellStyle name="WingDings" xfId="14562" xr:uid="{00000000-0005-0000-0000-0000E4390000}"/>
    <cellStyle name="WingDings 2" xfId="14563" xr:uid="{00000000-0005-0000-0000-0000E5390000}"/>
    <cellStyle name="WIP" xfId="14564" xr:uid="{00000000-0005-0000-0000-0000E6390000}"/>
    <cellStyle name="WIP 2" xfId="14565" xr:uid="{00000000-0005-0000-0000-0000E7390000}"/>
    <cellStyle name="WIP 3" xfId="14566" xr:uid="{00000000-0005-0000-0000-0000E8390000}"/>
    <cellStyle name="Währung [0]_aM120029" xfId="14557" xr:uid="{00000000-0005-0000-0000-0000DF390000}"/>
    <cellStyle name="Währung_aM120029" xfId="14558" xr:uid="{00000000-0005-0000-0000-0000E0390000}"/>
    <cellStyle name="Überschrift" xfId="14320" xr:uid="{00000000-0005-0000-0000-0000F1380000}"/>
    <cellStyle name="Überschrift 1" xfId="14321" xr:uid="{00000000-0005-0000-0000-0000F2380000}"/>
    <cellStyle name="Überschrift 2" xfId="14322" xr:uid="{00000000-0005-0000-0000-0000F3380000}"/>
    <cellStyle name="Überschrift 3" xfId="14323" xr:uid="{00000000-0005-0000-0000-0000F4380000}"/>
    <cellStyle name="Überschrift 4" xfId="14324" xr:uid="{00000000-0005-0000-0000-0000F5380000}"/>
    <cellStyle name="Überschrift_CRCO_macros" xfId="14325" xr:uid="{00000000-0005-0000-0000-0000F6380000}"/>
    <cellStyle name="Year" xfId="14567" xr:uid="{00000000-0005-0000-0000-0000E9390000}"/>
    <cellStyle name="yearformat" xfId="14568" xr:uid="{00000000-0005-0000-0000-0000EA390000}"/>
    <cellStyle name="YearHeader" xfId="14569" xr:uid="{00000000-0005-0000-0000-0000EB390000}"/>
    <cellStyle name="Zelle überprüfen" xfId="14570" xr:uid="{00000000-0005-0000-0000-0000EC390000}"/>
    <cellStyle name="Złe" xfId="14571" xr:uid="{00000000-0005-0000-0000-0000ED390000}"/>
    <cellStyle name="Złe 2" xfId="14572" xr:uid="{00000000-0005-0000-0000-0000EE390000}"/>
    <cellStyle name="Zvýraznění 1" xfId="14573" xr:uid="{00000000-0005-0000-0000-0000EF390000}"/>
    <cellStyle name="Zvýraznění 2" xfId="14574" xr:uid="{00000000-0005-0000-0000-0000F0390000}"/>
    <cellStyle name="Zvýraznění 3" xfId="14575" xr:uid="{00000000-0005-0000-0000-0000F1390000}"/>
    <cellStyle name="Zvýraznění 4" xfId="14576" xr:uid="{00000000-0005-0000-0000-0000F2390000}"/>
    <cellStyle name="Zvýraznění 5" xfId="14577" xr:uid="{00000000-0005-0000-0000-0000F3390000}"/>
    <cellStyle name="Zvýraznění 6" xfId="14578" xr:uid="{00000000-0005-0000-0000-0000F4390000}"/>
    <cellStyle name="Összesen 2" xfId="7897" xr:uid="{00000000-0005-0000-0000-0000981F0000}"/>
    <cellStyle name="Összesen 2 2" xfId="7898" xr:uid="{00000000-0005-0000-0000-0000991F0000}"/>
    <cellStyle name="Összesen 2 3" xfId="7899" xr:uid="{00000000-0005-0000-0000-00009A1F0000}"/>
    <cellStyle name="AA" xfId="1880" xr:uid="{00000000-0005-0000-0000-000061070000}"/>
    <cellStyle name="AA Nombre" xfId="1881" xr:uid="{00000000-0005-0000-0000-000062070000}"/>
    <cellStyle name="AA Nombre 2" xfId="1882" xr:uid="{00000000-0005-0000-0000-000063070000}"/>
    <cellStyle name="AA Nombre 3" xfId="1883" xr:uid="{00000000-0005-0000-0000-000064070000}"/>
    <cellStyle name="Акцент1" xfId="14579" xr:uid="{00000000-0005-0000-0000-0000F5390000}"/>
    <cellStyle name="Акцент1 2" xfId="14580" xr:uid="{00000000-0005-0000-0000-0000F6390000}"/>
    <cellStyle name="Акцент1 3" xfId="14581" xr:uid="{00000000-0005-0000-0000-0000F7390000}"/>
    <cellStyle name="Акцент2" xfId="14582" xr:uid="{00000000-0005-0000-0000-0000F8390000}"/>
    <cellStyle name="Акцент2 2" xfId="14583" xr:uid="{00000000-0005-0000-0000-0000F9390000}"/>
    <cellStyle name="Акцент2 3" xfId="14584" xr:uid="{00000000-0005-0000-0000-0000FA390000}"/>
    <cellStyle name="Акцент3" xfId="14585" xr:uid="{00000000-0005-0000-0000-0000FB390000}"/>
    <cellStyle name="Акцент3 2" xfId="14586" xr:uid="{00000000-0005-0000-0000-0000FC390000}"/>
    <cellStyle name="Акцент3 3" xfId="14587" xr:uid="{00000000-0005-0000-0000-0000FD390000}"/>
    <cellStyle name="Акцент4" xfId="14588" xr:uid="{00000000-0005-0000-0000-0000FE390000}"/>
    <cellStyle name="Акцент4 2" xfId="14589" xr:uid="{00000000-0005-0000-0000-0000FF390000}"/>
    <cellStyle name="Акцент4 3" xfId="14590" xr:uid="{00000000-0005-0000-0000-0000003A0000}"/>
    <cellStyle name="Акцент5" xfId="14591" xr:uid="{00000000-0005-0000-0000-0000013A0000}"/>
    <cellStyle name="Акцент5 2" xfId="14592" xr:uid="{00000000-0005-0000-0000-0000023A0000}"/>
    <cellStyle name="Акцент5 3" xfId="14593" xr:uid="{00000000-0005-0000-0000-0000033A0000}"/>
    <cellStyle name="Акцент6" xfId="14594" xr:uid="{00000000-0005-0000-0000-0000043A0000}"/>
    <cellStyle name="Акцент6 2" xfId="14595" xr:uid="{00000000-0005-0000-0000-0000053A0000}"/>
    <cellStyle name="Акцент6 3" xfId="14596" xr:uid="{00000000-0005-0000-0000-0000063A0000}"/>
    <cellStyle name="Ввод " xfId="14597" xr:uid="{00000000-0005-0000-0000-0000073A0000}"/>
    <cellStyle name="Ввод  2" xfId="14598" xr:uid="{00000000-0005-0000-0000-0000083A0000}"/>
    <cellStyle name="Ввод  2 2" xfId="14599" xr:uid="{00000000-0005-0000-0000-0000093A0000}"/>
    <cellStyle name="Ввод  3" xfId="14600" xr:uid="{00000000-0005-0000-0000-00000A3A0000}"/>
    <cellStyle name="Ввод  3 2" xfId="14601" xr:uid="{00000000-0005-0000-0000-00000B3A0000}"/>
    <cellStyle name="Ввод  4" xfId="14602" xr:uid="{00000000-0005-0000-0000-00000C3A0000}"/>
    <cellStyle name="Ввод  5" xfId="14603" xr:uid="{00000000-0005-0000-0000-00000D3A0000}"/>
    <cellStyle name="Вывод" xfId="14604" xr:uid="{00000000-0005-0000-0000-00000E3A0000}"/>
    <cellStyle name="Вывод 2" xfId="14605" xr:uid="{00000000-0005-0000-0000-00000F3A0000}"/>
    <cellStyle name="Вывод 2 2" xfId="14606" xr:uid="{00000000-0005-0000-0000-0000103A0000}"/>
    <cellStyle name="Вывод 3" xfId="14607" xr:uid="{00000000-0005-0000-0000-0000113A0000}"/>
    <cellStyle name="Вывод 3 2" xfId="14608" xr:uid="{00000000-0005-0000-0000-0000123A0000}"/>
    <cellStyle name="Вывод 4" xfId="14609" xr:uid="{00000000-0005-0000-0000-0000133A0000}"/>
    <cellStyle name="Вывод 5" xfId="14610" xr:uid="{00000000-0005-0000-0000-0000143A0000}"/>
    <cellStyle name="Вычисление" xfId="14611" xr:uid="{00000000-0005-0000-0000-0000153A0000}"/>
    <cellStyle name="Вычисление 2" xfId="14612" xr:uid="{00000000-0005-0000-0000-0000163A0000}"/>
    <cellStyle name="Вычисление 2 2" xfId="14613" xr:uid="{00000000-0005-0000-0000-0000173A0000}"/>
    <cellStyle name="Вычисление 3" xfId="14614" xr:uid="{00000000-0005-0000-0000-0000183A0000}"/>
    <cellStyle name="Вычисление 3 2" xfId="14615" xr:uid="{00000000-0005-0000-0000-0000193A0000}"/>
    <cellStyle name="Вычисление 4" xfId="14616" xr:uid="{00000000-0005-0000-0000-00001A3A0000}"/>
    <cellStyle name="Вычисление 5" xfId="14617" xr:uid="{00000000-0005-0000-0000-00001B3A0000}"/>
    <cellStyle name="Заголовок 1" xfId="14618" xr:uid="{00000000-0005-0000-0000-00001C3A0000}"/>
    <cellStyle name="Заголовок 2" xfId="14619" xr:uid="{00000000-0005-0000-0000-00001D3A0000}"/>
    <cellStyle name="Заголовок 3" xfId="14620" xr:uid="{00000000-0005-0000-0000-00001E3A0000}"/>
    <cellStyle name="Заголовок 4" xfId="14621" xr:uid="{00000000-0005-0000-0000-00001F3A0000}"/>
    <cellStyle name="Итог" xfId="14622" xr:uid="{00000000-0005-0000-0000-0000203A0000}"/>
    <cellStyle name="Итог 2" xfId="14623" xr:uid="{00000000-0005-0000-0000-0000213A0000}"/>
    <cellStyle name="Итог 2 2" xfId="14624" xr:uid="{00000000-0005-0000-0000-0000223A0000}"/>
    <cellStyle name="Итог 3" xfId="14625" xr:uid="{00000000-0005-0000-0000-0000233A0000}"/>
    <cellStyle name="Итог 4" xfId="14626" xr:uid="{00000000-0005-0000-0000-0000243A0000}"/>
    <cellStyle name="Итог 5" xfId="14627" xr:uid="{00000000-0005-0000-0000-0000253A0000}"/>
    <cellStyle name="Контрольная ячейка" xfId="14628" xr:uid="{00000000-0005-0000-0000-0000263A0000}"/>
    <cellStyle name="Контрольная ячейка 2" xfId="14629" xr:uid="{00000000-0005-0000-0000-0000273A0000}"/>
    <cellStyle name="Контрольная ячейка 3" xfId="14630" xr:uid="{00000000-0005-0000-0000-0000283A0000}"/>
    <cellStyle name="Название" xfId="14631" xr:uid="{00000000-0005-0000-0000-0000293A0000}"/>
    <cellStyle name="Название 2" xfId="14632" xr:uid="{00000000-0005-0000-0000-00002A3A0000}"/>
    <cellStyle name="Название 3" xfId="14633" xr:uid="{00000000-0005-0000-0000-00002B3A0000}"/>
    <cellStyle name="Нейтральный" xfId="14634" xr:uid="{00000000-0005-0000-0000-00002C3A0000}"/>
    <cellStyle name="Нейтральный 2" xfId="14635" xr:uid="{00000000-0005-0000-0000-00002D3A0000}"/>
    <cellStyle name="Нейтральный 3" xfId="14636" xr:uid="{00000000-0005-0000-0000-00002E3A0000}"/>
    <cellStyle name="Плохой" xfId="14637" xr:uid="{00000000-0005-0000-0000-00002F3A0000}"/>
    <cellStyle name="Плохой 2" xfId="14638" xr:uid="{00000000-0005-0000-0000-0000303A0000}"/>
    <cellStyle name="Плохой 3" xfId="14639" xr:uid="{00000000-0005-0000-0000-0000313A0000}"/>
    <cellStyle name="Пояснение" xfId="14640" xr:uid="{00000000-0005-0000-0000-0000323A0000}"/>
    <cellStyle name="Пояснение 2" xfId="14641" xr:uid="{00000000-0005-0000-0000-0000333A0000}"/>
    <cellStyle name="Пояснение 3" xfId="14642" xr:uid="{00000000-0005-0000-0000-0000343A0000}"/>
    <cellStyle name="Примечание" xfId="14643" xr:uid="{00000000-0005-0000-0000-0000353A0000}"/>
    <cellStyle name="Примечание 2" xfId="14644" xr:uid="{00000000-0005-0000-0000-0000363A0000}"/>
    <cellStyle name="Примечание 2 2" xfId="14645" xr:uid="{00000000-0005-0000-0000-0000373A0000}"/>
    <cellStyle name="Примечание 3" xfId="14646" xr:uid="{00000000-0005-0000-0000-0000383A0000}"/>
    <cellStyle name="Связанная ячейка" xfId="14647" xr:uid="{00000000-0005-0000-0000-0000393A0000}"/>
    <cellStyle name="Связанная ячейка 2" xfId="14648" xr:uid="{00000000-0005-0000-0000-00003A3A0000}"/>
    <cellStyle name="Связанная ячейка 3" xfId="14649" xr:uid="{00000000-0005-0000-0000-00003B3A0000}"/>
    <cellStyle name="Текст предупреждения" xfId="14650" xr:uid="{00000000-0005-0000-0000-00003C3A0000}"/>
    <cellStyle name="Текст предупреждения 2" xfId="14651" xr:uid="{00000000-0005-0000-0000-00003D3A0000}"/>
    <cellStyle name="Текст предупреждения 3" xfId="14652" xr:uid="{00000000-0005-0000-0000-00003E3A0000}"/>
    <cellStyle name="Хороший" xfId="14653" xr:uid="{00000000-0005-0000-0000-00003F3A0000}"/>
  </cellStyles>
  <dxfs count="988">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theme="0" tint="-0.499984740745262"/>
      </font>
      <fill>
        <patternFill>
          <bgColor rgb="FFFFFF99"/>
        </patternFill>
      </fill>
    </dxf>
    <dxf>
      <font>
        <color rgb="FFFF0000"/>
      </font>
      <fill>
        <patternFill>
          <bgColor rgb="FFFF99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ont>
        <color theme="0" tint="-0.499984740745262"/>
      </font>
      <fill>
        <patternFill>
          <bgColor theme="0"/>
        </patternFill>
      </fill>
    </dxf>
    <dxf>
      <font>
        <color rgb="FF006100"/>
      </font>
      <fill>
        <patternFill>
          <bgColor rgb="FF99FF99"/>
        </patternFill>
      </fill>
    </dxf>
    <dxf>
      <font>
        <color rgb="FFFF0000"/>
      </font>
      <fill>
        <patternFill>
          <bgColor rgb="FFFF9999"/>
        </patternFill>
      </fill>
    </dxf>
    <dxf>
      <font>
        <color theme="0" tint="-0.499984740745262"/>
      </font>
      <fill>
        <patternFill>
          <bgColor rgb="FFFFFF99"/>
        </patternFill>
      </fill>
    </dxf>
    <dxf>
      <font>
        <color rgb="FFFF0000"/>
      </font>
      <fill>
        <patternFill>
          <bgColor rgb="FFFFC000"/>
        </patternFill>
      </fill>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3" defaultTableStyle="TableStyleMedium2" defaultPivotStyle="PivotStyleMedium9">
    <tableStyle name="PivotStyleLight16 2" table="0" count="11" xr9:uid="{00000000-0011-0000-FFFF-FFFF00000000}">
      <tableStyleElement type="headerRow" dxfId="987"/>
      <tableStyleElement type="totalRow" dxfId="986"/>
      <tableStyleElement type="firstRowStripe" dxfId="985"/>
      <tableStyleElement type="firstColumnStripe" dxfId="984"/>
      <tableStyleElement type="firstSubtotalColumn" dxfId="983"/>
      <tableStyleElement type="firstSubtotalRow" dxfId="982"/>
      <tableStyleElement type="secondSubtotalRow" dxfId="981"/>
      <tableStyleElement type="firstRowSubheading" dxfId="980"/>
      <tableStyleElement type="secondRowSubheading" dxfId="979"/>
      <tableStyleElement type="pageFieldLabels" dxfId="978"/>
      <tableStyleElement type="pageFieldValues" dxfId="977"/>
    </tableStyle>
    <tableStyle name="PivotStyleLight16 3" table="0" count="11" xr9:uid="{00000000-0011-0000-FFFF-FFFF01000000}">
      <tableStyleElement type="headerRow" dxfId="976"/>
      <tableStyleElement type="totalRow" dxfId="975"/>
      <tableStyleElement type="firstRowStripe" dxfId="974"/>
      <tableStyleElement type="firstColumnStripe" dxfId="973"/>
      <tableStyleElement type="firstSubtotalColumn" dxfId="972"/>
      <tableStyleElement type="firstSubtotalRow" dxfId="971"/>
      <tableStyleElement type="secondSubtotalRow" dxfId="970"/>
      <tableStyleElement type="firstRowSubheading" dxfId="969"/>
      <tableStyleElement type="secondRowSubheading" dxfId="968"/>
      <tableStyleElement type="pageFieldLabels" dxfId="967"/>
      <tableStyleElement type="pageFieldValues" dxfId="966"/>
    </tableStyle>
    <tableStyle name="PivotStyleLight16 4" table="0" count="11" xr9:uid="{00000000-0011-0000-FFFF-FFFF02000000}">
      <tableStyleElement type="headerRow" dxfId="965"/>
      <tableStyleElement type="totalRow" dxfId="964"/>
      <tableStyleElement type="firstRowStripe" dxfId="963"/>
      <tableStyleElement type="firstColumnStripe" dxfId="962"/>
      <tableStyleElement type="firstSubtotalColumn" dxfId="961"/>
      <tableStyleElement type="firstSubtotalRow" dxfId="960"/>
      <tableStyleElement type="secondSubtotalRow" dxfId="959"/>
      <tableStyleElement type="firstRowSubheading" dxfId="958"/>
      <tableStyleElement type="secondRowSubheading" dxfId="957"/>
      <tableStyleElement type="pageFieldLabels" dxfId="956"/>
      <tableStyleElement type="pageFieldValues" dxfId="955"/>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HBRUNA30\dgof-pru$\LS\A\Ae\Fakturering\&#197;rsfakturering\2008\Masterfiler%202008\Flygskolor%202008\FTO%20Faktureringsunderlag%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5-paris-dna\VOL1\TEMP\ENROUTE_00_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HBRUNA30\dgof-pru$\TEMP\unit%20rate%20tables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HBRUNA30\dgof-pru$\RRIDER\COSTBASE\2000\final\2000finalwor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HBRUNA30\dgof-pru$\TEMP\ENROUTE_00_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rways Flygutbildning Svenska "/>
      <sheetName val="Arlanda Helicopter AB"/>
      <sheetName val="BF Scand. Aviation Academy AB"/>
      <sheetName val="Flygteoriskolan Barkarby AB"/>
      <sheetName val="Flyguppdraget Backamo AB"/>
      <sheetName val="Kungsair Training AB"/>
      <sheetName val="Lid Air AB"/>
      <sheetName val="Linköpings Flygklubb"/>
      <sheetName val="Lunds Universitet Trafikflygsko"/>
      <sheetName val="Norrlandsflyg AB"/>
      <sheetName val="Proflight Nordic AB"/>
      <sheetName val="Sturup IFR AB"/>
      <sheetName val="Svenska Pilotutbildning AB"/>
      <sheetName val="Flight Crew Traning Sw AB"/>
      <sheetName val="Rikskriminalpolisen, polisflyge"/>
      <sheetName val="Nytt företag"/>
      <sheetName val="Nytt företag 2"/>
      <sheetName val="Nytt företag 3"/>
      <sheetName val="Nytt företag 4"/>
      <sheetName val="Nytt företag 5"/>
      <sheetName val="Nytt företag 6"/>
      <sheetName val="Nytt företag 7"/>
      <sheetName val="Nytt företag 8"/>
      <sheetName val="Nytt företag 9"/>
      <sheetName val="Indata Flygskolor"/>
      <sheetName val="Airways_Flygutbildning_Svenska_"/>
      <sheetName val="Arlanda_Helicopter_AB"/>
      <sheetName val="BF_Scand__Aviation_Academy_AB"/>
      <sheetName val="Flygteoriskolan_Barkarby_AB"/>
      <sheetName val="Flyguppdraget_Backamo_AB"/>
      <sheetName val="Kungsair_Training_AB"/>
      <sheetName val="Lid_Air_AB"/>
      <sheetName val="Linköpings_Flygklubb"/>
      <sheetName val="Lunds_Universitet_Trafikflygsko"/>
      <sheetName val="Norrlandsflyg_AB"/>
      <sheetName val="Proflight_Nordic_AB"/>
      <sheetName val="Sturup_IFR_AB"/>
      <sheetName val="Svenska_Pilotutbildning_AB"/>
      <sheetName val="Flight_Crew_Traning_Sw_AB"/>
      <sheetName val="Rikskriminalpolisen,_polisflyge"/>
      <sheetName val="Nytt_företag"/>
      <sheetName val="Nytt_företag_2"/>
      <sheetName val="Nytt_företag_3"/>
      <sheetName val="Nytt_företag_4"/>
      <sheetName val="Nytt_företag_5"/>
      <sheetName val="Nytt_företag_6"/>
      <sheetName val="Nytt_företag_7"/>
      <sheetName val="Nytt_företag_8"/>
      <sheetName val="Nytt_företag_9"/>
      <sheetName val="Indata_Flygsko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6">
          <cell r="A6">
            <v>1</v>
          </cell>
        </row>
        <row r="7">
          <cell r="A7">
            <v>2</v>
          </cell>
        </row>
        <row r="8">
          <cell r="A8">
            <v>3</v>
          </cell>
        </row>
        <row r="9">
          <cell r="A9">
            <v>4</v>
          </cell>
        </row>
        <row r="10">
          <cell r="A10">
            <v>5</v>
          </cell>
        </row>
        <row r="11">
          <cell r="A11">
            <v>6</v>
          </cell>
        </row>
        <row r="12">
          <cell r="A12">
            <v>7</v>
          </cell>
        </row>
        <row r="13">
          <cell r="A13">
            <v>8</v>
          </cell>
        </row>
        <row r="14">
          <cell r="A14">
            <v>9</v>
          </cell>
        </row>
        <row r="15">
          <cell r="A15">
            <v>10</v>
          </cell>
        </row>
        <row r="16">
          <cell r="A16">
            <v>11</v>
          </cell>
        </row>
        <row r="17">
          <cell r="A17">
            <v>12</v>
          </cell>
        </row>
        <row r="18">
          <cell r="A18">
            <v>13</v>
          </cell>
        </row>
        <row r="19">
          <cell r="A19">
            <v>14</v>
          </cell>
        </row>
        <row r="20">
          <cell r="A20">
            <v>15</v>
          </cell>
        </row>
        <row r="21">
          <cell r="A21">
            <v>16</v>
          </cell>
        </row>
        <row r="22">
          <cell r="A22">
            <v>17</v>
          </cell>
        </row>
        <row r="23">
          <cell r="A23">
            <v>18</v>
          </cell>
        </row>
        <row r="24">
          <cell r="A24">
            <v>19</v>
          </cell>
        </row>
        <row r="25">
          <cell r="A25">
            <v>20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xts"/>
      <sheetName val="view"/>
      <sheetName val="exploitation"/>
      <sheetName val="base_en_route"/>
      <sheetName val="finances"/>
      <sheetName val="calcul"/>
      <sheetName val="EUR"/>
      <sheetName val="BEF"/>
      <sheetName val="verif_99"/>
      <sheetName val="prev00_3"/>
      <sheetName val="prev01_1"/>
      <sheetName val="COL1"/>
      <sheetName val="COL2"/>
      <sheetName val="COL3"/>
      <sheetName val="COL4"/>
      <sheetName val="COL5"/>
      <sheetName val="COL6"/>
      <sheetName val="COL7"/>
      <sheetName val="COL8"/>
      <sheetName val="HY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F8">
            <v>40.3399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inputs"/>
      <sheetName val="BEF"/>
    </sheetNames>
    <sheetDataSet>
      <sheetData sheetId="0"/>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control detail"/>
      <sheetName val="DETR"/>
      <sheetName val="Rate composition"/>
      <sheetName val="forecasts and actuals"/>
      <sheetName val="implied rate 2000 Qtr2"/>
      <sheetName val="implied rate 2000 Qtr2R)"/>
      <sheetName val=" rate 2000 Qtr2 readjusted"/>
      <sheetName val="IE recalculation BP"/>
      <sheetName val="IE treatment"/>
      <sheetName val="Inflation"/>
      <sheetName val="Slide 3"/>
      <sheetName val="Slide 4"/>
      <sheetName val="Schedule 1 EC paper"/>
      <sheetName val="Schedule 2 EC paper"/>
      <sheetName val="Schedule 1 cons paper "/>
      <sheetName val="Schedule 2 cons paper"/>
      <sheetName val="Summary - Schedule 3 cons"/>
      <sheetName val="1999 var cons - Schedule 4 "/>
      <sheetName val="2000 var cons - Schedule 5"/>
      <sheetName val="Summary - Schedule 3"/>
      <sheetName val="Cost bases"/>
      <sheetName val="UKATS presentation phasing"/>
      <sheetName val="Forecast"/>
      <sheetName val="Bases"/>
      <sheetName val="UKATS"/>
      <sheetName val="Summary results"/>
      <sheetName val="Agency costs data"/>
      <sheetName val="Agency costs - history"/>
      <sheetName val="Agency costs"/>
      <sheetName val="97decact"/>
      <sheetName val="98maract"/>
      <sheetName val="99marbud"/>
      <sheetName val="98decact"/>
      <sheetName val="tblMapDescriptions"/>
      <sheetName val="qry99MarEnRoute"/>
      <sheetName val="qrybudget2000"/>
      <sheetName val="timetable"/>
      <sheetName val="Forecasts and B plans"/>
      <sheetName val="Eurocontrol_detail"/>
      <sheetName val="Rate_composition"/>
      <sheetName val="forecasts_and_actuals"/>
      <sheetName val="implied_rate_2000_Qtr2"/>
      <sheetName val="implied_rate_2000_Qtr2R)"/>
      <sheetName val="_rate_2000_Qtr2_readjusted"/>
      <sheetName val="IE_recalculation_BP"/>
      <sheetName val="IE_treatment"/>
      <sheetName val="Slide_3"/>
      <sheetName val="Slide_4"/>
      <sheetName val="Schedule_1_EC_paper"/>
      <sheetName val="Schedule_2_EC_paper"/>
      <sheetName val="Schedule_1_cons_paper_"/>
      <sheetName val="Schedule_2_cons_paper"/>
      <sheetName val="Summary_-_Schedule_3_cons"/>
      <sheetName val="1999_var_cons_-_Schedule_4_"/>
      <sheetName val="2000_var_cons_-_Schedule_5"/>
      <sheetName val="Summary_-_Schedule_3"/>
      <sheetName val="Cost_bases"/>
      <sheetName val="UKATS_presentation_phasing"/>
      <sheetName val="Summary_results"/>
      <sheetName val="Agency_costs_data"/>
      <sheetName val="Agency_costs_-_history"/>
      <sheetName val="Agency_costs"/>
      <sheetName val="Forecasts_and_B_plans"/>
      <sheetName val="IV dir._Technosky_2011"/>
      <sheetName val="IV dir._Technosky_20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F"/>
      <sheetName val="texts"/>
      <sheetName val="view"/>
      <sheetName val="exploitation"/>
      <sheetName val="base_en_route"/>
      <sheetName val="finances"/>
      <sheetName val="calcul"/>
      <sheetName val="EUR"/>
      <sheetName val="verif_99"/>
      <sheetName val="prev00_3"/>
      <sheetName val="prev01_1"/>
      <sheetName val="COL1"/>
      <sheetName val="COL2"/>
      <sheetName val="COL3"/>
      <sheetName val="COL4"/>
      <sheetName val="COL5"/>
      <sheetName val="COL6"/>
      <sheetName val="COL7"/>
      <sheetName val="COL8"/>
      <sheetName val="HYPO"/>
    </sheetNames>
    <sheetDataSet>
      <sheetData sheetId="0" refreshError="1">
        <row r="8">
          <cell r="F8">
            <v>40.3399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82">
    <tabColor rgb="FF92D050"/>
    <outlinePr summaryBelow="0"/>
    <pageSetUpPr fitToPage="1"/>
  </sheetPr>
  <dimension ref="A1:Z730"/>
  <sheetViews>
    <sheetView topLeftCell="C1" zoomScale="90" zoomScaleNormal="90" workbookViewId="0">
      <selection activeCell="K144" sqref="K144"/>
    </sheetView>
  </sheetViews>
  <sheetFormatPr baseColWidth="10" defaultColWidth="9.5703125" defaultRowHeight="15" outlineLevelRow="1"/>
  <cols>
    <col min="1" max="1" width="9.5703125" style="71" customWidth="1"/>
    <col min="2" max="2" width="5.7109375" style="72" bestFit="1" customWidth="1"/>
    <col min="3" max="3" width="140.42578125" style="16" customWidth="1"/>
    <col min="4" max="4" width="8.7109375" style="15" customWidth="1"/>
    <col min="5" max="9" width="12" style="15" hidden="1" customWidth="1"/>
    <col min="10" max="15" width="12" style="16" customWidth="1"/>
    <col min="16" max="16" width="2" style="16" customWidth="1"/>
    <col min="17" max="22" width="12" style="16" customWidth="1"/>
    <col min="23" max="16384" width="9.5703125" style="16"/>
  </cols>
  <sheetData>
    <row r="1" spans="1:26">
      <c r="A1" s="1492" t="s">
        <v>0</v>
      </c>
      <c r="B1" s="1492"/>
      <c r="C1" s="1492"/>
    </row>
    <row r="2" spans="1:26">
      <c r="A2" s="1493" t="b">
        <v>1</v>
      </c>
      <c r="B2" s="1493"/>
      <c r="C2" s="17" t="s">
        <v>1</v>
      </c>
    </row>
    <row r="3" spans="1:26">
      <c r="A3" s="1494" t="b">
        <v>1</v>
      </c>
      <c r="B3" s="1494"/>
      <c r="C3" s="17" t="s">
        <v>2</v>
      </c>
    </row>
    <row r="4" spans="1:26">
      <c r="A4" s="1495" t="b">
        <v>0</v>
      </c>
      <c r="B4" s="1495"/>
      <c r="C4" s="17" t="s">
        <v>3</v>
      </c>
    </row>
    <row r="5" spans="1:26">
      <c r="A5" s="1494" t="b">
        <v>0</v>
      </c>
      <c r="B5" s="1494"/>
      <c r="C5" s="17" t="s">
        <v>4</v>
      </c>
    </row>
    <row r="6" spans="1:26">
      <c r="A6" s="1491" t="s">
        <v>5</v>
      </c>
      <c r="B6" s="1491"/>
      <c r="C6" s="17" t="s">
        <v>6</v>
      </c>
    </row>
    <row r="7" spans="1:26">
      <c r="A7" s="1481" t="s">
        <v>7</v>
      </c>
      <c r="B7" s="1481"/>
      <c r="C7" s="17" t="s">
        <v>8</v>
      </c>
    </row>
    <row r="8" spans="1:26" ht="14.65" customHeight="1">
      <c r="A8" s="18"/>
      <c r="B8" s="19"/>
      <c r="C8" s="20"/>
      <c r="D8" s="21"/>
      <c r="E8" s="1488" t="s">
        <v>9</v>
      </c>
      <c r="F8" s="1489"/>
      <c r="G8" s="1489"/>
      <c r="H8" s="1489"/>
      <c r="I8" s="1490"/>
      <c r="J8" s="1482" t="s">
        <v>10</v>
      </c>
      <c r="K8" s="1483"/>
      <c r="L8" s="1483"/>
      <c r="M8" s="1483"/>
      <c r="N8" s="1483"/>
      <c r="O8" s="1484"/>
      <c r="Q8" s="1479" t="s">
        <v>9</v>
      </c>
      <c r="R8" s="1479"/>
      <c r="S8" s="1479"/>
      <c r="T8" s="1479"/>
      <c r="U8" s="1479"/>
      <c r="V8" s="1479"/>
    </row>
    <row r="9" spans="1:26" ht="24">
      <c r="A9" s="1485" t="s">
        <v>11</v>
      </c>
      <c r="B9" s="1485"/>
      <c r="C9" s="1485"/>
      <c r="D9" s="22" t="s">
        <v>12</v>
      </c>
      <c r="E9" s="23">
        <v>2015</v>
      </c>
      <c r="F9" s="23">
        <v>2016</v>
      </c>
      <c r="G9" s="23">
        <v>2017</v>
      </c>
      <c r="H9" s="23">
        <v>2018</v>
      </c>
      <c r="I9" s="24">
        <v>2019</v>
      </c>
      <c r="J9" s="26">
        <v>2020</v>
      </c>
      <c r="K9" s="23">
        <v>2021</v>
      </c>
      <c r="L9" s="23" t="s">
        <v>498</v>
      </c>
      <c r="M9" s="23">
        <v>2022</v>
      </c>
      <c r="N9" s="23">
        <v>2023</v>
      </c>
      <c r="O9" s="25">
        <v>2024</v>
      </c>
      <c r="Q9" s="26">
        <v>2020</v>
      </c>
      <c r="R9" s="23">
        <v>2021</v>
      </c>
      <c r="S9" s="23" t="s">
        <v>498</v>
      </c>
      <c r="T9" s="23">
        <v>2022</v>
      </c>
      <c r="U9" s="23">
        <v>2023</v>
      </c>
      <c r="V9" s="25">
        <v>2024</v>
      </c>
    </row>
    <row r="10" spans="1:26" s="32" customFormat="1" ht="21" customHeight="1">
      <c r="A10" s="27" t="s">
        <v>13</v>
      </c>
      <c r="B10" s="28" t="s">
        <v>14</v>
      </c>
      <c r="C10" s="29" t="s">
        <v>670</v>
      </c>
      <c r="D10" s="30"/>
      <c r="E10" s="31"/>
      <c r="F10" s="31"/>
      <c r="G10" s="31"/>
      <c r="H10" s="31"/>
      <c r="I10" s="31"/>
      <c r="J10" s="31"/>
      <c r="K10" s="31"/>
      <c r="L10" s="31"/>
      <c r="M10" s="31"/>
      <c r="N10" s="31"/>
      <c r="O10" s="31"/>
      <c r="P10" s="16"/>
      <c r="Q10" s="31"/>
      <c r="R10" s="16"/>
      <c r="S10" s="16"/>
      <c r="T10" s="16"/>
      <c r="U10" s="16"/>
      <c r="V10" s="16"/>
    </row>
    <row r="11" spans="1:26" s="38" customFormat="1" ht="15" customHeight="1">
      <c r="A11" s="33" t="s">
        <v>15</v>
      </c>
      <c r="B11" s="34" t="s">
        <v>16</v>
      </c>
      <c r="C11" s="35" t="s">
        <v>17</v>
      </c>
      <c r="D11" s="36">
        <v>3</v>
      </c>
      <c r="E11" s="37" t="b">
        <f>ROUND('T1'!F61,$D$11)=ROUND('T1 ANSP'!F61+'T1 MET'!F61+'T1 NSA'!F61,$D$11)</f>
        <v>1</v>
      </c>
      <c r="F11" s="37" t="b">
        <f>ROUND('T1'!G61,$D$11)=ROUND('T1 ANSP'!G61+'T1 MET'!G61+'T1 NSA'!G61,$D$11)</f>
        <v>1</v>
      </c>
      <c r="G11" s="37" t="b">
        <f>ROUND('T1'!H61,$D$11)=ROUND('T1 ANSP'!H61+'T1 MET'!H61+'T1 NSA'!H61,$D$11)</f>
        <v>1</v>
      </c>
      <c r="H11" s="37" t="b">
        <f>ROUND('T1'!I61,$D$11)=ROUND('T1 ANSP'!I61+'T1 MET'!I61+'T1 NSA'!I61,$D$11)</f>
        <v>1</v>
      </c>
      <c r="I11" s="37" t="b">
        <f>ROUND('T1'!J61,$D$11)=ROUND('T1 ANSP'!J61+'T1 MET'!J61+'T1 NSA'!J61,$D$11)</f>
        <v>1</v>
      </c>
      <c r="J11" s="37" t="b">
        <f>ROUND('T1'!K61,$D$11)=ROUND('T1 ANSP'!K61+'T1 MET'!K61+'T1 NSA'!K61,$D$11)</f>
        <v>1</v>
      </c>
      <c r="K11" s="37" t="b">
        <f>ROUND('T1'!L61,$D$11)=ROUND('T1 ANSP'!L61+'T1 MET'!L61+'T1 NSA'!L61,$D$11)</f>
        <v>1</v>
      </c>
      <c r="L11" s="37" t="b">
        <f>ROUND('T1'!M61,$D$11)=ROUND('T1 ANSP'!M61+'T1 MET'!M61+'T1 NSA'!M61,$D$11)</f>
        <v>1</v>
      </c>
      <c r="M11" s="37" t="b">
        <f>ROUND('T1'!N61,$D$11)=ROUND('T1 ANSP'!N61+'T1 MET'!N61+'T1 NSA'!N61,$D$11)</f>
        <v>1</v>
      </c>
      <c r="N11" s="37" t="b">
        <f>ROUND('T1'!O61,$D$11)=ROUND('T1 ANSP'!O61+'T1 MET'!O61+'T1 NSA'!O61,$D$11)</f>
        <v>1</v>
      </c>
      <c r="O11" s="37" t="b">
        <f>ROUND('T1'!P61,$D$11)=ROUND('T1 ANSP'!P61+'T1 MET'!P61+'T1 NSA'!P61,$D$11)</f>
        <v>1</v>
      </c>
      <c r="P11" s="16"/>
      <c r="Q11" s="37" t="b">
        <f>ROUND('T1'!R61,$D$11)=ROUND('T1 ANSP'!R61+'T1 MET'!R61+'T1 NSA'!R61,$D$11)</f>
        <v>1</v>
      </c>
      <c r="R11" s="16"/>
      <c r="S11" s="16"/>
      <c r="T11" s="16"/>
      <c r="U11" s="16"/>
      <c r="V11" s="16"/>
    </row>
    <row r="12" spans="1:26" s="44" customFormat="1" ht="15" customHeight="1" outlineLevel="1">
      <c r="A12" s="39"/>
      <c r="B12" s="40"/>
      <c r="C12" s="41" t="s">
        <v>18</v>
      </c>
      <c r="D12" s="42"/>
      <c r="E12" s="672">
        <f>ROUND('T1'!F61,$D$11)</f>
        <v>454600.14399999997</v>
      </c>
      <c r="F12" s="672">
        <f>ROUND('T1'!G61,$D$11)</f>
        <v>461305.61800000002</v>
      </c>
      <c r="G12" s="672">
        <f>ROUND('T1'!H61,$D$11)</f>
        <v>460212.88199999998</v>
      </c>
      <c r="H12" s="672">
        <f>ROUND('T1'!I61,$D$11)</f>
        <v>478363.13900000002</v>
      </c>
      <c r="I12" s="672">
        <f>ROUND('T1'!J61,$D$11)</f>
        <v>467804.03100000002</v>
      </c>
      <c r="J12" s="672">
        <f>ROUND('T1'!K61,$D$11)</f>
        <v>409579.09100000001</v>
      </c>
      <c r="K12" s="672">
        <f>ROUND('T1'!L61,$D$11)</f>
        <v>411164.20199999999</v>
      </c>
      <c r="L12" s="672">
        <f>ROUND('T1'!M61,$D$11)</f>
        <v>820743.29299999995</v>
      </c>
      <c r="M12" s="672">
        <f>ROUND('T1'!N61,$D$11)</f>
        <v>409243.45899999997</v>
      </c>
      <c r="N12" s="672">
        <f>ROUND('T1'!O61,$D$11)</f>
        <v>430889.41700000002</v>
      </c>
      <c r="O12" s="672">
        <f>ROUND('T1'!P61,$D$11)</f>
        <v>446675.24</v>
      </c>
      <c r="P12" s="16"/>
      <c r="Q12" s="672">
        <f>ROUND('T1'!R61,$D$11)</f>
        <v>409579.09100000001</v>
      </c>
      <c r="R12" s="16"/>
      <c r="S12" s="16"/>
      <c r="T12" s="16"/>
      <c r="U12" s="16"/>
      <c r="V12" s="16"/>
    </row>
    <row r="13" spans="1:26" s="44" customFormat="1" ht="15" customHeight="1" outlineLevel="1">
      <c r="A13" s="39"/>
      <c r="B13" s="40"/>
      <c r="C13" s="41" t="s">
        <v>19</v>
      </c>
      <c r="D13" s="42"/>
      <c r="E13" s="672">
        <f>ROUND('T1 ANSP'!F61+'T1 MET'!F61+'T1 NSA'!F61,$D$11)</f>
        <v>454600.14399999997</v>
      </c>
      <c r="F13" s="672">
        <f>ROUND('T1 ANSP'!G61+'T1 MET'!G61+'T1 NSA'!G61,$D$11)</f>
        <v>461305.61800000002</v>
      </c>
      <c r="G13" s="672">
        <f>ROUND('T1 ANSP'!H61+'T1 MET'!H61+'T1 NSA'!H61,$D$11)</f>
        <v>460212.88199999998</v>
      </c>
      <c r="H13" s="672">
        <f>ROUND('T1 ANSP'!I61+'T1 MET'!I61+'T1 NSA'!I61,$D$11)</f>
        <v>478363.13900000002</v>
      </c>
      <c r="I13" s="672">
        <f>ROUND('T1 ANSP'!J61+'T1 MET'!J61+'T1 NSA'!J61,$D$11)</f>
        <v>467804.03100000002</v>
      </c>
      <c r="J13" s="672">
        <f>ROUND('T1 ANSP'!K61+'T1 MET'!K61+'T1 NSA'!K61,$D$11)</f>
        <v>409579.09100000001</v>
      </c>
      <c r="K13" s="672">
        <f>ROUND('T1 ANSP'!L61+'T1 MET'!L61+'T1 NSA'!L61,$D$11)</f>
        <v>411164.20199999999</v>
      </c>
      <c r="L13" s="672">
        <f>ROUND('T1 ANSP'!M61+'T1 MET'!M61+'T1 NSA'!M61,$D$11)</f>
        <v>820743.29299999995</v>
      </c>
      <c r="M13" s="672">
        <f>ROUND('T1 ANSP'!N61+'T1 MET'!N61+'T1 NSA'!N61,$D$11)</f>
        <v>409243.45899999997</v>
      </c>
      <c r="N13" s="672">
        <f>ROUND('T1 ANSP'!O61+'T1 MET'!O61+'T1 NSA'!O61,$D$11)</f>
        <v>430889.41700000002</v>
      </c>
      <c r="O13" s="672">
        <f>ROUND('T1 ANSP'!P61+'T1 MET'!P61+'T1 NSA'!P61,$D$11)</f>
        <v>446675.24</v>
      </c>
      <c r="P13" s="16"/>
      <c r="Q13" s="672">
        <f>ROUND('T1 ANSP'!R61+'T1 MET'!R61+'T1 NSA'!R61,$D$11)</f>
        <v>409579.09100000001</v>
      </c>
      <c r="R13" s="16"/>
      <c r="S13" s="16"/>
      <c r="T13" s="16"/>
      <c r="U13" s="16"/>
      <c r="V13" s="16"/>
    </row>
    <row r="14" spans="1:26" s="38" customFormat="1" ht="15" customHeight="1">
      <c r="A14" s="33" t="s">
        <v>20</v>
      </c>
      <c r="B14" s="34" t="s">
        <v>21</v>
      </c>
      <c r="C14" s="35" t="s">
        <v>22</v>
      </c>
      <c r="D14" s="36">
        <v>3</v>
      </c>
      <c r="E14" s="37" t="b">
        <f>ROUND('T1'!F18,$D$14)=ROUND(('T1'!F12+SUM('T1'!F14:F17)),$D$14)</f>
        <v>1</v>
      </c>
      <c r="F14" s="37" t="b">
        <f>ROUND('T1'!G18,$D$14)=ROUND(('T1'!G12+SUM('T1'!G14:G17)),$D$14)</f>
        <v>1</v>
      </c>
      <c r="G14" s="37" t="b">
        <f>ROUND('T1'!H18,$D$14)=ROUND(('T1'!H12+SUM('T1'!H14:H17)),$D$14)</f>
        <v>1</v>
      </c>
      <c r="H14" s="37" t="b">
        <f>ROUND('T1'!I18,$D$14)=ROUND(('T1'!I12+SUM('T1'!I14:I17)),$D$14)</f>
        <v>1</v>
      </c>
      <c r="I14" s="37" t="b">
        <f>ROUND('T1'!J18,$D$14)=ROUND(('T1'!J12+SUM('T1'!J14:J17)),$D$14)</f>
        <v>1</v>
      </c>
      <c r="J14" s="37" t="b">
        <f>ROUND('T1'!K18,$D$14)=ROUND(('T1'!K12+SUM('T1'!K14:K17)),$D$14)</f>
        <v>1</v>
      </c>
      <c r="K14" s="37" t="b">
        <f>ROUND('T1'!L18,$D$14)=ROUND(('T1'!L12+SUM('T1'!L14:L17)),$D$14)</f>
        <v>1</v>
      </c>
      <c r="L14" s="37" t="b">
        <f>ROUND('T1'!M18,$D$14)=ROUND(('T1'!M12+SUM('T1'!M14:M17)),$D$14)</f>
        <v>1</v>
      </c>
      <c r="M14" s="37" t="b">
        <f>ROUND('T1'!N18,$D$14)=ROUND(('T1'!N12+SUM('T1'!N14:N17)),$D$14)</f>
        <v>1</v>
      </c>
      <c r="N14" s="37" t="b">
        <f>ROUND('T1'!O18,$D$14)=ROUND(('T1'!O12+SUM('T1'!O14:O17)),$D$14)</f>
        <v>1</v>
      </c>
      <c r="O14" s="37" t="b">
        <f>ROUND('T1'!P18,$D$14)=ROUND(('T1'!P12+SUM('T1'!P14:P17)),$D$14)</f>
        <v>1</v>
      </c>
      <c r="P14" s="16"/>
      <c r="Q14" s="37" t="b">
        <f>ROUND('T1'!R18,$D$14)=ROUND(('T1'!R12+SUM('T1'!R14:R17)),$D$14)</f>
        <v>1</v>
      </c>
      <c r="R14" s="16"/>
      <c r="S14" s="16"/>
      <c r="T14" s="16"/>
      <c r="U14" s="16"/>
      <c r="V14" s="16"/>
    </row>
    <row r="15" spans="1:26" s="44" customFormat="1" ht="15" customHeight="1" outlineLevel="1">
      <c r="A15" s="39"/>
      <c r="B15" s="40"/>
      <c r="C15" s="41" t="s">
        <v>23</v>
      </c>
      <c r="D15" s="42"/>
      <c r="E15" s="672">
        <f>ROUND('T1'!F18,$D$14)</f>
        <v>455739.49300000002</v>
      </c>
      <c r="F15" s="672">
        <f>ROUND('T1'!G18,$D$14)</f>
        <v>462461.772</v>
      </c>
      <c r="G15" s="672">
        <f>ROUND('T1'!H18,$D$14)</f>
        <v>461366.29800000001</v>
      </c>
      <c r="H15" s="672">
        <f>ROUND('T1'!I18,$D$14)</f>
        <v>479562.04399999999</v>
      </c>
      <c r="I15" s="672">
        <f>ROUND('T1'!J18,$D$14)</f>
        <v>468976.473</v>
      </c>
      <c r="J15" s="672">
        <f>ROUND('T1'!K18,$D$14)</f>
        <v>410605.60499999998</v>
      </c>
      <c r="K15" s="672">
        <f>ROUND('T1'!L18,$D$14)</f>
        <v>412194.68900000001</v>
      </c>
      <c r="L15" s="672">
        <f>ROUND('T1'!M18,$D$14)</f>
        <v>822800.29299999995</v>
      </c>
      <c r="M15" s="672">
        <f>ROUND('T1'!N18,$D$14)</f>
        <v>410269.13199999998</v>
      </c>
      <c r="N15" s="672">
        <f>ROUND('T1'!O18,$D$14)</f>
        <v>431969.34100000001</v>
      </c>
      <c r="O15" s="672">
        <f>ROUND('T1'!P18,$D$14)</f>
        <v>447794.72700000001</v>
      </c>
      <c r="P15" s="16"/>
      <c r="Q15" s="672">
        <f>ROUND('T1'!R18,$D$14)</f>
        <v>410605.60499999998</v>
      </c>
      <c r="R15" s="16"/>
      <c r="S15" s="16"/>
      <c r="T15" s="16"/>
      <c r="U15" s="16"/>
      <c r="V15" s="16"/>
      <c r="W15" s="38"/>
      <c r="X15" s="38"/>
      <c r="Y15" s="38"/>
      <c r="Z15" s="38"/>
    </row>
    <row r="16" spans="1:26" s="44" customFormat="1" ht="15" customHeight="1" outlineLevel="1">
      <c r="A16" s="39"/>
      <c r="B16" s="40"/>
      <c r="C16" s="41" t="s">
        <v>24</v>
      </c>
      <c r="D16" s="42"/>
      <c r="E16" s="672">
        <f>ROUND(('T1'!F12+SUM('T1'!F14:F17)),$D$14)</f>
        <v>455739.49300000002</v>
      </c>
      <c r="F16" s="672">
        <f>ROUND(('T1'!G12+SUM('T1'!G14:G17)),$D$14)</f>
        <v>462461.772</v>
      </c>
      <c r="G16" s="672">
        <f>ROUND(('T1'!H12+SUM('T1'!H14:H17)),$D$14)</f>
        <v>461366.29800000001</v>
      </c>
      <c r="H16" s="672">
        <f>ROUND(('T1'!I12+SUM('T1'!I14:I17)),$D$14)</f>
        <v>479562.04399999999</v>
      </c>
      <c r="I16" s="672">
        <f>ROUND(('T1'!J12+SUM('T1'!J14:J17)),$D$14)</f>
        <v>468976.473</v>
      </c>
      <c r="J16" s="672">
        <f>ROUND(('T1'!K12+SUM('T1'!K14:K17)),$D$14)</f>
        <v>410605.60499999998</v>
      </c>
      <c r="K16" s="672">
        <f>ROUND(('T1'!L12+SUM('T1'!L14:L17)),$D$14)</f>
        <v>412194.68900000001</v>
      </c>
      <c r="L16" s="672">
        <f>ROUND(('T1'!M12+SUM('T1'!M14:M17)),$D$14)</f>
        <v>822800.29299999995</v>
      </c>
      <c r="M16" s="672">
        <f>ROUND(('T1'!N12+SUM('T1'!N14:N17)),$D$14)</f>
        <v>410269.13199999998</v>
      </c>
      <c r="N16" s="672">
        <f>ROUND(('T1'!O12+SUM('T1'!O14:O17)),$D$14)</f>
        <v>431969.34100000001</v>
      </c>
      <c r="O16" s="672">
        <f>ROUND(('T1'!P12+SUM('T1'!P14:P17)),$D$14)</f>
        <v>447794.72700000001</v>
      </c>
      <c r="P16" s="16"/>
      <c r="Q16" s="672">
        <f>ROUND(('T1'!R12+SUM('T1'!R14:R17)),$D$14)</f>
        <v>410605.60499999998</v>
      </c>
      <c r="R16" s="16"/>
      <c r="S16" s="16"/>
      <c r="T16" s="16"/>
      <c r="U16" s="16"/>
      <c r="V16" s="16"/>
      <c r="W16" s="38"/>
      <c r="X16" s="38"/>
      <c r="Y16" s="38"/>
      <c r="Z16" s="38"/>
    </row>
    <row r="17" spans="1:26" s="38" customFormat="1" ht="15" customHeight="1">
      <c r="A17" s="33" t="s">
        <v>25</v>
      </c>
      <c r="B17" s="34" t="s">
        <v>26</v>
      </c>
      <c r="C17" s="35" t="s">
        <v>27</v>
      </c>
      <c r="D17" s="36">
        <v>3</v>
      </c>
      <c r="E17" s="37" t="b">
        <f>ROUND('T1'!F31,$D$17)=ROUND(SUM('T1'!F22:F30),$D$17)</f>
        <v>1</v>
      </c>
      <c r="F17" s="37" t="b">
        <f>ROUND('T1'!G31,$D$17)=ROUND(SUM('T1'!G22:G30),$D$17)</f>
        <v>1</v>
      </c>
      <c r="G17" s="37" t="b">
        <f>ROUND('T1'!H31,$D$17)=ROUND(SUM('T1'!H22:H30),$D$17)</f>
        <v>1</v>
      </c>
      <c r="H17" s="37" t="b">
        <f>ROUND('T1'!I31,$D$17)=ROUND(SUM('T1'!I22:I30),$D$17)</f>
        <v>1</v>
      </c>
      <c r="I17" s="37" t="b">
        <f>ROUND('T1'!J31,$D$17)=ROUND(SUM('T1'!J22:J30),$D$17)</f>
        <v>1</v>
      </c>
      <c r="J17" s="37" t="b">
        <f>ROUND('T1'!K31,$D$17)=ROUND(SUM('T1'!K22:K30),$D$17)</f>
        <v>1</v>
      </c>
      <c r="K17" s="37" t="b">
        <f>ROUND('T1'!L31,$D$17)=ROUND(SUM('T1'!L22:L30),$D$17)</f>
        <v>1</v>
      </c>
      <c r="L17" s="37" t="b">
        <f>ROUND('T1'!M31,$D$17)=ROUND(SUM('T1'!M22:M30),$D$17)</f>
        <v>1</v>
      </c>
      <c r="M17" s="37" t="b">
        <f>ROUND('T1'!N31,$D$17)=ROUND(SUM('T1'!N22:N30),$D$17)</f>
        <v>1</v>
      </c>
      <c r="N17" s="37" t="b">
        <f>ROUND('T1'!O31,$D$17)=ROUND(SUM('T1'!O22:O30),$D$17)</f>
        <v>1</v>
      </c>
      <c r="O17" s="37" t="b">
        <f>ROUND('T1'!P31,$D$17)=ROUND(SUM('T1'!P22:P30),$D$17)</f>
        <v>1</v>
      </c>
      <c r="P17" s="16"/>
      <c r="Q17" s="37" t="b">
        <f>ROUND('T1'!R31,$D$17)=ROUND(SUM('T1'!R22:R30),$D$17)</f>
        <v>1</v>
      </c>
      <c r="R17" s="16"/>
      <c r="S17" s="16"/>
      <c r="T17" s="16"/>
      <c r="U17" s="16"/>
      <c r="V17" s="16"/>
    </row>
    <row r="18" spans="1:26" s="44" customFormat="1" ht="15" customHeight="1" outlineLevel="1">
      <c r="A18" s="39"/>
      <c r="B18" s="40"/>
      <c r="C18" s="41" t="s">
        <v>28</v>
      </c>
      <c r="D18" s="42"/>
      <c r="E18" s="672">
        <f>ROUND('T1'!F31,$D$17)</f>
        <v>455739.49300000002</v>
      </c>
      <c r="F18" s="672">
        <f>ROUND('T1'!G31,$D$17)</f>
        <v>462461.772</v>
      </c>
      <c r="G18" s="672">
        <f>ROUND('T1'!H31,$D$17)</f>
        <v>461366.29800000001</v>
      </c>
      <c r="H18" s="672">
        <f>ROUND('T1'!I31,$D$17)</f>
        <v>479562.04399999999</v>
      </c>
      <c r="I18" s="672">
        <f>ROUND('T1'!J31,$D$17)</f>
        <v>468976.473</v>
      </c>
      <c r="J18" s="672">
        <f>ROUND('T1'!K31,$D$17)</f>
        <v>410605.60499999998</v>
      </c>
      <c r="K18" s="672">
        <f>ROUND('T1'!L31,$D$17)</f>
        <v>412194.68900000001</v>
      </c>
      <c r="L18" s="672">
        <f>ROUND('T1'!M31,$D$17)</f>
        <v>822800.29299999995</v>
      </c>
      <c r="M18" s="672">
        <f>ROUND('T1'!N31,$D$17)</f>
        <v>410269.13199999998</v>
      </c>
      <c r="N18" s="672">
        <f>ROUND('T1'!O31,$D$17)</f>
        <v>431969.34100000001</v>
      </c>
      <c r="O18" s="672">
        <f>ROUND('T1'!P31,$D$17)</f>
        <v>447794.72700000001</v>
      </c>
      <c r="P18" s="16"/>
      <c r="Q18" s="672">
        <f>ROUND('T1'!R31,$D$17)</f>
        <v>410605.60499999998</v>
      </c>
      <c r="R18" s="16"/>
      <c r="S18" s="16"/>
      <c r="T18" s="16"/>
      <c r="U18" s="16"/>
      <c r="V18" s="16"/>
      <c r="W18" s="38"/>
      <c r="X18" s="38"/>
      <c r="Y18" s="38"/>
      <c r="Z18" s="38"/>
    </row>
    <row r="19" spans="1:26" s="44" customFormat="1" ht="15" customHeight="1" outlineLevel="1">
      <c r="A19" s="39"/>
      <c r="B19" s="40"/>
      <c r="C19" s="41" t="s">
        <v>29</v>
      </c>
      <c r="D19" s="42"/>
      <c r="E19" s="672">
        <f>ROUND(SUM('T1'!F22:F30),$D$17)</f>
        <v>455739.49300000002</v>
      </c>
      <c r="F19" s="672">
        <f>ROUND(SUM('T1'!G22:G30),$D$17)</f>
        <v>462461.772</v>
      </c>
      <c r="G19" s="672">
        <f>ROUND(SUM('T1'!H22:H30),$D$17)</f>
        <v>461366.29800000001</v>
      </c>
      <c r="H19" s="672">
        <f>ROUND(SUM('T1'!I22:I30),$D$17)</f>
        <v>479562.04399999999</v>
      </c>
      <c r="I19" s="672">
        <f>ROUND(SUM('T1'!J22:J30),$D$17)</f>
        <v>468976.473</v>
      </c>
      <c r="J19" s="672">
        <f>ROUND(SUM('T1'!K22:K30),$D$17)</f>
        <v>410605.60499999998</v>
      </c>
      <c r="K19" s="672">
        <f>ROUND(SUM('T1'!L22:L30),$D$17)</f>
        <v>412194.68900000001</v>
      </c>
      <c r="L19" s="672">
        <f>ROUND(SUM('T1'!M22:M30),$D$17)</f>
        <v>822800.29299999995</v>
      </c>
      <c r="M19" s="672">
        <f>ROUND(SUM('T1'!N22:N30),$D$17)</f>
        <v>410269.13199999998</v>
      </c>
      <c r="N19" s="672">
        <f>ROUND(SUM('T1'!O22:O30),$D$17)</f>
        <v>431969.34100000001</v>
      </c>
      <c r="O19" s="672">
        <f>ROUND(SUM('T1'!P22:P30),$D$17)</f>
        <v>447794.72700000001</v>
      </c>
      <c r="P19" s="16"/>
      <c r="Q19" s="672">
        <f>ROUND(SUM('T1'!R22:R30),$D$17)</f>
        <v>410605.60499999998</v>
      </c>
      <c r="R19" s="16"/>
      <c r="S19" s="16"/>
      <c r="T19" s="16"/>
      <c r="U19" s="16"/>
      <c r="V19" s="16"/>
      <c r="W19" s="38"/>
      <c r="X19" s="38"/>
      <c r="Y19" s="38"/>
      <c r="Z19" s="38"/>
    </row>
    <row r="20" spans="1:26" s="38" customFormat="1" ht="15" customHeight="1">
      <c r="A20" s="33" t="s">
        <v>30</v>
      </c>
      <c r="B20" s="34" t="s">
        <v>26</v>
      </c>
      <c r="C20" s="35" t="s">
        <v>31</v>
      </c>
      <c r="D20" s="36">
        <v>3</v>
      </c>
      <c r="E20" s="37" t="b">
        <f>ROUND('T1'!F18,$D$20)=ROUND('T1'!F31,$D$20)</f>
        <v>1</v>
      </c>
      <c r="F20" s="37" t="b">
        <f>ROUND('T1'!G18,$D$20)=ROUND('T1'!G31,$D$20)</f>
        <v>1</v>
      </c>
      <c r="G20" s="37" t="b">
        <f>ROUND('T1'!H18,$D$20)=ROUND('T1'!H31,$D$20)</f>
        <v>1</v>
      </c>
      <c r="H20" s="37" t="b">
        <f>ROUND('T1'!I18,$D$20)=ROUND('T1'!I31,$D$20)</f>
        <v>1</v>
      </c>
      <c r="I20" s="37" t="b">
        <f>ROUND('T1'!J18,$D$20)=ROUND('T1'!J31,$D$20)</f>
        <v>1</v>
      </c>
      <c r="J20" s="37" t="b">
        <f>ROUND('T1'!K18,$D$20)=ROUND('T1'!K31,$D$20)</f>
        <v>1</v>
      </c>
      <c r="K20" s="37" t="b">
        <f>ROUND('T1'!L18,$D$20)=ROUND('T1'!L31,$D$20)</f>
        <v>1</v>
      </c>
      <c r="L20" s="37" t="b">
        <f>ROUND('T1'!M18,$D$20)=ROUND('T1'!M31,$D$20)</f>
        <v>1</v>
      </c>
      <c r="M20" s="37" t="b">
        <f>ROUND('T1'!N18,$D$20)=ROUND('T1'!N31,$D$20)</f>
        <v>1</v>
      </c>
      <c r="N20" s="37" t="b">
        <f>ROUND('T1'!O18,$D$20)=ROUND('T1'!O31,$D$20)</f>
        <v>1</v>
      </c>
      <c r="O20" s="37" t="b">
        <f>ROUND('T1'!P18,$D$20)=ROUND('T1'!P31,$D$20)</f>
        <v>1</v>
      </c>
      <c r="P20" s="16"/>
      <c r="Q20" s="37" t="b">
        <f>ROUND('T1'!R18,$D$20)=ROUND('T1'!R31,$D$20)</f>
        <v>1</v>
      </c>
      <c r="R20" s="16"/>
      <c r="S20" s="16"/>
      <c r="T20" s="16"/>
      <c r="U20" s="16"/>
      <c r="V20" s="16"/>
    </row>
    <row r="21" spans="1:26" s="44" customFormat="1" ht="15" customHeight="1" outlineLevel="1">
      <c r="A21" s="39"/>
      <c r="B21" s="40"/>
      <c r="C21" s="41" t="s">
        <v>23</v>
      </c>
      <c r="D21" s="45"/>
      <c r="E21" s="672">
        <f>ROUND('T1'!F18,$D$20)</f>
        <v>455739.49300000002</v>
      </c>
      <c r="F21" s="672">
        <f>ROUND('T1'!G18,$D$20)</f>
        <v>462461.772</v>
      </c>
      <c r="G21" s="672">
        <f>ROUND('T1'!H18,$D$20)</f>
        <v>461366.29800000001</v>
      </c>
      <c r="H21" s="672">
        <f>ROUND('T1'!I18,$D$20)</f>
        <v>479562.04399999999</v>
      </c>
      <c r="I21" s="672">
        <f>ROUND('T1'!J18,$D$20)</f>
        <v>468976.473</v>
      </c>
      <c r="J21" s="672">
        <f>ROUND('T1'!K18,$D$20)</f>
        <v>410605.60499999998</v>
      </c>
      <c r="K21" s="672">
        <f>ROUND('T1'!L18,$D$20)</f>
        <v>412194.68900000001</v>
      </c>
      <c r="L21" s="672">
        <f>ROUND('T1'!M18,$D$20)</f>
        <v>822800.29299999995</v>
      </c>
      <c r="M21" s="672">
        <f>ROUND('T1'!N18,$D$20)</f>
        <v>410269.13199999998</v>
      </c>
      <c r="N21" s="672">
        <f>ROUND('T1'!O18,$D$20)</f>
        <v>431969.34100000001</v>
      </c>
      <c r="O21" s="672">
        <f>ROUND('T1'!P18,$D$20)</f>
        <v>447794.72700000001</v>
      </c>
      <c r="P21" s="16"/>
      <c r="Q21" s="672">
        <f>ROUND('T1'!R18,$D$20)</f>
        <v>410605.60499999998</v>
      </c>
      <c r="R21" s="16"/>
      <c r="S21" s="16"/>
      <c r="T21" s="16"/>
      <c r="U21" s="16"/>
      <c r="V21" s="16"/>
      <c r="W21" s="38"/>
      <c r="X21" s="38"/>
      <c r="Y21" s="38"/>
      <c r="Z21" s="38"/>
    </row>
    <row r="22" spans="1:26" s="44" customFormat="1" ht="15" customHeight="1" outlineLevel="1">
      <c r="A22" s="39"/>
      <c r="B22" s="40"/>
      <c r="C22" s="41" t="s">
        <v>28</v>
      </c>
      <c r="D22" s="45"/>
      <c r="E22" s="672">
        <f>ROUND('T1'!F31,$D$20)</f>
        <v>455739.49300000002</v>
      </c>
      <c r="F22" s="672">
        <f>ROUND('T1'!G31,$D$20)</f>
        <v>462461.772</v>
      </c>
      <c r="G22" s="672">
        <f>ROUND('T1'!H31,$D$20)</f>
        <v>461366.29800000001</v>
      </c>
      <c r="H22" s="672">
        <f>ROUND('T1'!I31,$D$20)</f>
        <v>479562.04399999999</v>
      </c>
      <c r="I22" s="672">
        <f>ROUND('T1'!J31,$D$20)</f>
        <v>468976.473</v>
      </c>
      <c r="J22" s="672">
        <f>ROUND('T1'!K31,$D$20)</f>
        <v>410605.60499999998</v>
      </c>
      <c r="K22" s="672">
        <f>ROUND('T1'!L31,$D$20)</f>
        <v>412194.68900000001</v>
      </c>
      <c r="L22" s="672">
        <f>ROUND('T1'!M31,$D$20)</f>
        <v>822800.29299999995</v>
      </c>
      <c r="M22" s="672">
        <f>ROUND('T1'!N31,$D$20)</f>
        <v>410269.13199999998</v>
      </c>
      <c r="N22" s="672">
        <f>ROUND('T1'!O31,$D$20)</f>
        <v>431969.34100000001</v>
      </c>
      <c r="O22" s="672">
        <f>ROUND('T1'!P31,$D$20)</f>
        <v>447794.72700000001</v>
      </c>
      <c r="P22" s="16"/>
      <c r="Q22" s="672">
        <f>ROUND('T1'!R31,$D$20)</f>
        <v>410605.60499999998</v>
      </c>
      <c r="R22" s="16"/>
      <c r="S22" s="16"/>
      <c r="T22" s="16"/>
      <c r="U22" s="16"/>
      <c r="V22" s="16"/>
      <c r="W22" s="38"/>
      <c r="X22" s="38"/>
      <c r="Y22" s="38"/>
      <c r="Z22" s="38"/>
    </row>
    <row r="23" spans="1:26" s="38" customFormat="1" ht="15" customHeight="1">
      <c r="A23" s="33" t="s">
        <v>32</v>
      </c>
      <c r="B23" s="34" t="s">
        <v>33</v>
      </c>
      <c r="C23" s="35" t="s">
        <v>34</v>
      </c>
      <c r="D23" s="36">
        <v>3</v>
      </c>
      <c r="H23" s="37" t="b">
        <f>'T1'!I64&gt;=0</f>
        <v>1</v>
      </c>
      <c r="I23" s="37" t="b">
        <f>'T1'!J64&gt;=0</f>
        <v>1</v>
      </c>
      <c r="J23" s="37" t="b">
        <f>'T1'!K64&gt;=0</f>
        <v>1</v>
      </c>
      <c r="K23" s="37" t="b">
        <f>'T1'!L64&gt;=0</f>
        <v>1</v>
      </c>
      <c r="L23" s="16"/>
      <c r="M23" s="37" t="b">
        <f>'T1'!N64&gt;=0</f>
        <v>1</v>
      </c>
      <c r="N23" s="37" t="b">
        <f>'T1'!O64&gt;=0</f>
        <v>1</v>
      </c>
      <c r="O23" s="37" t="b">
        <f>'T1'!P64&gt;=0</f>
        <v>1</v>
      </c>
      <c r="P23" s="16"/>
      <c r="Q23" s="37" t="b">
        <f>'T1'!R64&gt;=0</f>
        <v>1</v>
      </c>
      <c r="R23" s="16"/>
      <c r="S23" s="16"/>
      <c r="T23" s="16"/>
      <c r="U23" s="16"/>
      <c r="V23" s="16"/>
    </row>
    <row r="24" spans="1:26" s="44" customFormat="1" ht="15" customHeight="1" outlineLevel="1">
      <c r="A24" s="46"/>
      <c r="B24" s="40"/>
      <c r="C24" s="41" t="s">
        <v>35</v>
      </c>
      <c r="D24" s="45"/>
      <c r="H24" s="47">
        <f>'T1'!I64</f>
        <v>0.03</v>
      </c>
      <c r="I24" s="47">
        <f>'T1'!J64</f>
        <v>2.3E-2</v>
      </c>
      <c r="J24" s="47">
        <f>'T1'!K64</f>
        <v>1.2E-2</v>
      </c>
      <c r="K24" s="47">
        <f>'T1'!L64</f>
        <v>2.1999999999999999E-2</v>
      </c>
      <c r="L24" s="16"/>
      <c r="M24" s="47">
        <f>'T1'!N64</f>
        <v>0.02</v>
      </c>
      <c r="N24" s="47">
        <f>'T1'!O64</f>
        <v>0.02</v>
      </c>
      <c r="O24" s="47">
        <f>'T1'!P64</f>
        <v>0.02</v>
      </c>
      <c r="P24" s="16"/>
      <c r="Q24" s="47">
        <f>'T1'!R64</f>
        <v>1.2E-2</v>
      </c>
      <c r="R24" s="16"/>
      <c r="S24" s="16"/>
      <c r="T24" s="16"/>
      <c r="U24" s="16"/>
      <c r="V24" s="16"/>
      <c r="W24" s="38"/>
      <c r="X24" s="38"/>
      <c r="Y24" s="38"/>
      <c r="Z24" s="38"/>
    </row>
    <row r="25" spans="1:26" s="38" customFormat="1" ht="15" customHeight="1">
      <c r="A25" s="33" t="s">
        <v>36</v>
      </c>
      <c r="B25" s="34" t="s">
        <v>37</v>
      </c>
      <c r="C25" s="35" t="s">
        <v>38</v>
      </c>
      <c r="D25" s="36">
        <v>2</v>
      </c>
      <c r="E25" s="37" t="b">
        <f>ROUND('T1'!G65/(1+'T1'!G64),$D$25)=ROUND('T1'!F65,$D$25)</f>
        <v>1</v>
      </c>
      <c r="F25" s="37" t="b">
        <f>ROUND('T1'!F65*(1+'T1'!G64),$D$25)=ROUND('T1'!G65,$D$25)</f>
        <v>1</v>
      </c>
      <c r="G25" s="37" t="b">
        <f>ROUND('T1'!G65*(1+'T1'!H64),$D$25)=ROUND('T1'!H65,$D$25)</f>
        <v>1</v>
      </c>
      <c r="H25" s="37" t="b">
        <f>ROUND('T1'!H65*(1+'T1'!I64),$D$25)=ROUND('T1'!I65,$D$25)</f>
        <v>1</v>
      </c>
      <c r="I25" s="37" t="b">
        <f>ROUND('T1'!I65*(1+'T1'!J64),$D$25)=ROUND('T1'!J65,$D$25)</f>
        <v>1</v>
      </c>
      <c r="J25" s="37" t="b">
        <f>ROUND('T1'!J65*(1+'T1'!K64),$D$25)=ROUND('T1'!K65,$D$25)</f>
        <v>1</v>
      </c>
      <c r="K25" s="37" t="b">
        <f>ROUND('T1'!K65*(1+'T1'!L64),$D$25)=ROUND('T1'!L65,$D$25)</f>
        <v>1</v>
      </c>
      <c r="L25" s="16"/>
      <c r="M25" s="37" t="b">
        <f>ROUND('T1'!L65*(1+'T1'!N64),$D$25)=ROUND('T1'!N65,$D$25)</f>
        <v>1</v>
      </c>
      <c r="N25" s="37" t="b">
        <f>ROUND('T1'!N65*(1+'T1'!O64),$D$25)=ROUND('T1'!O65,$D$25)</f>
        <v>1</v>
      </c>
      <c r="O25" s="37" t="b">
        <f>ROUND('T1'!O65*(1+'T1'!P64),$D$25)=ROUND('T1'!P65,$D$25)</f>
        <v>1</v>
      </c>
      <c r="P25" s="16"/>
      <c r="Q25" s="37" t="b">
        <f>ROUND('T1'!J65*(1+'T1'!R64),$D$25)=ROUND('T1'!R65,$D$25)</f>
        <v>1</v>
      </c>
      <c r="R25" s="16"/>
      <c r="S25" s="16"/>
      <c r="T25" s="16"/>
      <c r="U25" s="16"/>
      <c r="V25" s="16"/>
    </row>
    <row r="26" spans="1:26" s="44" customFormat="1" ht="15" customHeight="1" outlineLevel="1">
      <c r="A26" s="39"/>
      <c r="B26" s="40"/>
      <c r="C26" s="41" t="s">
        <v>39</v>
      </c>
      <c r="D26" s="45"/>
      <c r="E26" s="48">
        <f>ROUND('T1'!G65/(1+'T1'!G64),$D$25)</f>
        <v>94.45</v>
      </c>
      <c r="F26" s="48">
        <f>ROUND('T1'!F65*(1+'T1'!G64),$D$25)</f>
        <v>98.14</v>
      </c>
      <c r="G26" s="48">
        <f>ROUND('T1'!G65*(1+'T1'!H64),$D$25)</f>
        <v>100</v>
      </c>
      <c r="H26" s="48">
        <f>ROUND('T1'!H65*(1+'T1'!I64),$D$25)</f>
        <v>103</v>
      </c>
      <c r="I26" s="48">
        <f>ROUND('T1'!I65*(1+'T1'!J64),$D$25)</f>
        <v>105.37</v>
      </c>
      <c r="J26" s="48">
        <f>ROUND('T1'!J65*(1+'T1'!K64),$D$25)</f>
        <v>106.63</v>
      </c>
      <c r="K26" s="48">
        <f>ROUND('T1'!K65*(1+'T1'!L64),$D$25)</f>
        <v>108.98</v>
      </c>
      <c r="L26" s="16"/>
      <c r="M26" s="48">
        <f>ROUND('T1'!L65*(1+'T1'!N64),$D$25)</f>
        <v>111.16</v>
      </c>
      <c r="N26" s="48">
        <f>ROUND('T1'!N65*(1+'T1'!O64),$D$25)</f>
        <v>113.38</v>
      </c>
      <c r="O26" s="48">
        <f>ROUND('T1'!O65*(1+'T1'!P64),$D$25)</f>
        <v>115.65</v>
      </c>
      <c r="P26" s="16"/>
      <c r="Q26" s="48">
        <f>ROUND('T1'!J65*(1+'T1'!R64),$D$25)</f>
        <v>106.63</v>
      </c>
      <c r="R26" s="16"/>
      <c r="S26" s="16"/>
      <c r="T26" s="16"/>
      <c r="U26" s="16"/>
      <c r="V26" s="16"/>
      <c r="W26" s="38"/>
      <c r="X26" s="38"/>
      <c r="Y26" s="38"/>
      <c r="Z26" s="38"/>
    </row>
    <row r="27" spans="1:26" s="44" customFormat="1" ht="15" customHeight="1" outlineLevel="1">
      <c r="A27" s="39"/>
      <c r="B27" s="40"/>
      <c r="C27" s="41" t="s">
        <v>40</v>
      </c>
      <c r="D27" s="45"/>
      <c r="E27" s="48">
        <f>ROUND('T1'!F65,$D$25)</f>
        <v>94.45</v>
      </c>
      <c r="F27" s="48">
        <f>ROUND('T1'!G65,$D$25)</f>
        <v>98.14</v>
      </c>
      <c r="G27" s="48">
        <f>ROUND('T1'!H65,$D$25)</f>
        <v>100</v>
      </c>
      <c r="H27" s="48">
        <f>ROUND('T1'!I65,$D$25)</f>
        <v>103</v>
      </c>
      <c r="I27" s="48">
        <f>ROUND('T1'!J65,$D$25)</f>
        <v>105.37</v>
      </c>
      <c r="J27" s="48">
        <f>ROUND('T1'!K65,$D$25)</f>
        <v>106.63</v>
      </c>
      <c r="K27" s="48">
        <f>ROUND('T1'!L65,$D$25)</f>
        <v>108.98</v>
      </c>
      <c r="L27" s="16"/>
      <c r="M27" s="48">
        <f>ROUND('T1'!N65,$D$25)</f>
        <v>111.16</v>
      </c>
      <c r="N27" s="48">
        <f>ROUND('T1'!O65,$D$25)</f>
        <v>113.38</v>
      </c>
      <c r="O27" s="48">
        <f>ROUND('T1'!P65,$D$25)</f>
        <v>115.65</v>
      </c>
      <c r="P27" s="16"/>
      <c r="Q27" s="48">
        <f>ROUND('T1'!R65,$D$25)</f>
        <v>106.63</v>
      </c>
      <c r="R27" s="16"/>
      <c r="S27" s="16"/>
      <c r="T27" s="16"/>
      <c r="U27" s="16"/>
      <c r="V27" s="16"/>
    </row>
    <row r="28" spans="1:26" s="38" customFormat="1" ht="15" customHeight="1">
      <c r="A28" s="33" t="s">
        <v>41</v>
      </c>
      <c r="B28" s="34" t="s">
        <v>42</v>
      </c>
      <c r="C28" s="35" t="s">
        <v>59</v>
      </c>
      <c r="D28" s="36">
        <v>2</v>
      </c>
      <c r="E28" s="37" t="b">
        <f>ROUND(('T1'!F66/'T1'!F68),$D$28)=ROUND('T1'!F70,$D$28)</f>
        <v>1</v>
      </c>
      <c r="F28" s="37" t="b">
        <f>ROUND(('T1'!G66/'T1'!G68),$D$28)=ROUND('T1'!G70,$D$28)</f>
        <v>1</v>
      </c>
      <c r="G28" s="37" t="b">
        <f>ROUND(('T1'!H66/'T1'!H68),$D$28)=ROUND('T1'!H70,$D$28)</f>
        <v>1</v>
      </c>
      <c r="H28" s="37" t="b">
        <f>ROUND(('T1'!I66/'T1'!I68),$D$28)=ROUND('T1'!I70,$D$28)</f>
        <v>1</v>
      </c>
      <c r="I28" s="37" t="b">
        <f>ROUND(('T1'!J66/'T1'!J68),$D$28)=ROUND('T1'!J70,$D$28)</f>
        <v>1</v>
      </c>
      <c r="J28" s="37" t="b">
        <f>ROUND(('T1'!K66/'T1'!K68),$D$28)=ROUND('T1'!K70,$D$28)</f>
        <v>1</v>
      </c>
      <c r="K28" s="37" t="b">
        <f>ROUND(('T1'!L66/'T1'!L68),$D$28)=ROUND('T1'!L70,$D$28)</f>
        <v>1</v>
      </c>
      <c r="L28" s="37" t="b">
        <f>ROUND(('T1'!M66/'T1'!M68),$D$28)=ROUND('T1'!M70,$D$28)</f>
        <v>1</v>
      </c>
      <c r="M28" s="37" t="b">
        <f>ROUND(('T1'!N66/'T1'!N68),$D$28)=ROUND('T1'!N70,$D$28)</f>
        <v>1</v>
      </c>
      <c r="N28" s="37" t="b">
        <f>ROUND(('T1'!O66/'T1'!O68),$D$28)=ROUND('T1'!O70,$D$28)</f>
        <v>1</v>
      </c>
      <c r="O28" s="37" t="b">
        <f>ROUND(('T1'!P66/'T1'!P68),$D$28)=ROUND('T1'!P70,$D$28)</f>
        <v>1</v>
      </c>
      <c r="P28" s="16"/>
      <c r="Q28" s="37" t="b">
        <f>ROUND(('T1'!R66/'T1'!R68),$D$28)=ROUND('T1'!R70,$D$28)</f>
        <v>1</v>
      </c>
      <c r="R28" s="16"/>
      <c r="S28" s="16"/>
      <c r="T28" s="16"/>
      <c r="U28" s="16"/>
      <c r="V28" s="16"/>
    </row>
    <row r="29" spans="1:26" s="44" customFormat="1" ht="15" customHeight="1" outlineLevel="1">
      <c r="A29" s="39"/>
      <c r="B29" s="40"/>
      <c r="C29" s="41" t="s">
        <v>43</v>
      </c>
      <c r="D29" s="45"/>
      <c r="E29" s="48">
        <f>ROUND(('T1'!F66/'T1'!F68),$D$28)</f>
        <v>1947.08</v>
      </c>
      <c r="F29" s="48">
        <f>ROUND(('T1'!G66/'T1'!G68),$D$28)</f>
        <v>1911.44</v>
      </c>
      <c r="G29" s="48">
        <f>ROUND(('T1'!H66/'T1'!H68),$D$28)</f>
        <v>1842.14</v>
      </c>
      <c r="H29" s="48">
        <f>ROUND(('T1'!I66/'T1'!I68),$D$28)</f>
        <v>1821.94</v>
      </c>
      <c r="I29" s="48">
        <f>ROUND(('T1'!J66/'T1'!J68),$D$28)</f>
        <v>1746.04</v>
      </c>
      <c r="J29" s="48">
        <f>ROUND(('T1'!K66/'T1'!K68),$D$28)</f>
        <v>2892.2</v>
      </c>
      <c r="K29" s="48">
        <f>ROUND(('T1'!L66/'T1'!L68),$D$28)</f>
        <v>2750.56</v>
      </c>
      <c r="L29" s="48">
        <f>ROUND(('T1'!M66/'T1'!M68),$D$28)</f>
        <v>2820.11</v>
      </c>
      <c r="M29" s="48">
        <f>ROUND(('T1'!N66/'T1'!N68),$D$28)</f>
        <v>1830.92</v>
      </c>
      <c r="N29" s="48">
        <f>ROUND(('T1'!O66/'T1'!O68),$D$28)</f>
        <v>1617.11</v>
      </c>
      <c r="O29" s="48">
        <f>ROUND(('T1'!P66/'T1'!P68),$D$28)</f>
        <v>1536.29</v>
      </c>
      <c r="P29" s="16"/>
      <c r="Q29" s="48">
        <f>ROUND(('T1'!R66/'T1'!R68),$D$28)</f>
        <v>2892.2</v>
      </c>
      <c r="R29" s="16"/>
      <c r="S29" s="16"/>
      <c r="T29" s="16"/>
      <c r="U29" s="16"/>
      <c r="V29" s="16"/>
    </row>
    <row r="30" spans="1:26" s="44" customFormat="1" ht="15" customHeight="1" outlineLevel="1">
      <c r="A30" s="39"/>
      <c r="B30" s="40"/>
      <c r="C30" s="41" t="s">
        <v>44</v>
      </c>
      <c r="D30" s="45"/>
      <c r="E30" s="48">
        <f>ROUND('T1'!F70,$D$28)</f>
        <v>1947.08</v>
      </c>
      <c r="F30" s="48">
        <f>ROUND('T1'!G70,$D$28)</f>
        <v>1911.44</v>
      </c>
      <c r="G30" s="48">
        <f>ROUND('T1'!H70,$D$28)</f>
        <v>1842.14</v>
      </c>
      <c r="H30" s="48">
        <f>ROUND('T1'!I70,$D$28)</f>
        <v>1821.94</v>
      </c>
      <c r="I30" s="48">
        <f>ROUND('T1'!J70,$D$28)</f>
        <v>1746.04</v>
      </c>
      <c r="J30" s="48">
        <f>ROUND('T1'!K70,$D$28)</f>
        <v>2892.2</v>
      </c>
      <c r="K30" s="48">
        <f>ROUND('T1'!L70,$D$28)</f>
        <v>2750.56</v>
      </c>
      <c r="L30" s="48">
        <f>ROUND('T1'!M70,$D$28)</f>
        <v>2820.11</v>
      </c>
      <c r="M30" s="48">
        <f>ROUND('T1'!N70,$D$28)</f>
        <v>1830.92</v>
      </c>
      <c r="N30" s="48">
        <f>ROUND('T1'!O70,$D$28)</f>
        <v>1617.11</v>
      </c>
      <c r="O30" s="48">
        <f>ROUND('T1'!P70,$D$28)</f>
        <v>1536.29</v>
      </c>
      <c r="P30" s="16"/>
      <c r="Q30" s="48">
        <f>ROUND('T1'!R70,$D$28)</f>
        <v>2892.2</v>
      </c>
      <c r="R30" s="16"/>
      <c r="S30" s="16"/>
      <c r="T30" s="16"/>
      <c r="U30" s="16"/>
      <c r="V30" s="16"/>
    </row>
    <row r="31" spans="1:26" s="38" customFormat="1" ht="15" customHeight="1">
      <c r="A31" s="33" t="s">
        <v>45</v>
      </c>
      <c r="B31" s="34" t="s">
        <v>16</v>
      </c>
      <c r="C31" s="35" t="s">
        <v>46</v>
      </c>
      <c r="D31" s="36">
        <v>3</v>
      </c>
      <c r="E31" s="37" t="b">
        <f>ROUND('T1'!F61,$D$31)=ROUND('T1'!F18-'T1'!F60,$D$31)</f>
        <v>1</v>
      </c>
      <c r="F31" s="37" t="b">
        <f>ROUND('T1'!G61,$D$31)=ROUND('T1'!G18-'T1'!G60,$D$31)</f>
        <v>1</v>
      </c>
      <c r="G31" s="37" t="b">
        <f>ROUND('T1'!H61,$D$31)=ROUND('T1'!H18-'T1'!H60,$D$31)</f>
        <v>1</v>
      </c>
      <c r="H31" s="37" t="b">
        <f>ROUND('T1'!I61,$D$31)=ROUND('T1'!I18-'T1'!I60,$D$31)</f>
        <v>1</v>
      </c>
      <c r="I31" s="37" t="b">
        <f>ROUND('T1'!J61,$D$31)=ROUND('T1'!J18-'T1'!J60,$D$31)</f>
        <v>1</v>
      </c>
      <c r="J31" s="37" t="b">
        <f>ROUND('T1'!K61,$D$31)=ROUND('T1'!K18-'T1'!K60,$D$31)</f>
        <v>1</v>
      </c>
      <c r="K31" s="37" t="b">
        <f>ROUND('T1'!L61,$D$31)=ROUND('T1'!L18-'T1'!L60,$D$31)</f>
        <v>1</v>
      </c>
      <c r="L31" s="37" t="b">
        <f>ROUND('T1'!M61,$D$31)=ROUND('T1'!M18-'T1'!M60,$D$31)</f>
        <v>1</v>
      </c>
      <c r="M31" s="37" t="b">
        <f>ROUND('T1'!N61,$D$31)=ROUND('T1'!N18-'T1'!N60,$D$31)</f>
        <v>1</v>
      </c>
      <c r="N31" s="37" t="b">
        <f>ROUND('T1'!O61,$D$31)=ROUND('T1'!O18-'T1'!O60,$D$31)</f>
        <v>1</v>
      </c>
      <c r="O31" s="37" t="b">
        <f>ROUND('T1'!P61,$D$31)=ROUND('T1'!P18-'T1'!P60,$D$31)</f>
        <v>1</v>
      </c>
      <c r="P31" s="16"/>
      <c r="Q31" s="37" t="b">
        <f>ROUND('T1'!R61,$D$31)=ROUND('T1'!R18-'T1'!R60,$D$31)</f>
        <v>1</v>
      </c>
      <c r="R31" s="16"/>
      <c r="S31" s="16"/>
      <c r="T31" s="16"/>
      <c r="U31" s="16"/>
      <c r="V31" s="16"/>
    </row>
    <row r="32" spans="1:26" s="44" customFormat="1" ht="15" customHeight="1" outlineLevel="1">
      <c r="A32" s="39"/>
      <c r="B32" s="40"/>
      <c r="C32" s="41" t="s">
        <v>47</v>
      </c>
      <c r="D32" s="45"/>
      <c r="E32" s="672">
        <f>ROUND('T1'!F61,$D$31)</f>
        <v>454600.14399999997</v>
      </c>
      <c r="F32" s="672">
        <f>ROUND('T1'!G61,$D$31)</f>
        <v>461305.61800000002</v>
      </c>
      <c r="G32" s="672">
        <f>ROUND('T1'!H61,$D$31)</f>
        <v>460212.88199999998</v>
      </c>
      <c r="H32" s="672">
        <f>ROUND('T1'!I61,$D$31)</f>
        <v>478363.13900000002</v>
      </c>
      <c r="I32" s="672">
        <f>ROUND('T1'!J61,$D$31)</f>
        <v>467804.03100000002</v>
      </c>
      <c r="J32" s="672">
        <f>ROUND('T1'!K61,$D$31)</f>
        <v>409579.09100000001</v>
      </c>
      <c r="K32" s="672">
        <f>ROUND('T1'!L61,$D$31)</f>
        <v>411164.20199999999</v>
      </c>
      <c r="L32" s="672">
        <f>ROUND('T1'!M61,$D$31)</f>
        <v>820743.29299999995</v>
      </c>
      <c r="M32" s="672">
        <f>ROUND('T1'!N61,$D$31)</f>
        <v>409243.45899999997</v>
      </c>
      <c r="N32" s="672">
        <f>ROUND('T1'!O61,$D$31)</f>
        <v>430889.41700000002</v>
      </c>
      <c r="O32" s="672">
        <f>ROUND('T1'!P61,$D$31)</f>
        <v>446675.24</v>
      </c>
      <c r="P32" s="16"/>
      <c r="Q32" s="672">
        <f>ROUND('T1'!R61,$D$31)</f>
        <v>409579.09100000001</v>
      </c>
      <c r="R32" s="16"/>
      <c r="S32" s="16"/>
      <c r="T32" s="16"/>
      <c r="U32" s="16"/>
      <c r="V32" s="16"/>
    </row>
    <row r="33" spans="1:25" s="44" customFormat="1" ht="15" customHeight="1" outlineLevel="1">
      <c r="A33" s="39"/>
      <c r="B33" s="40"/>
      <c r="C33" s="41" t="s">
        <v>48</v>
      </c>
      <c r="D33" s="45"/>
      <c r="E33" s="672">
        <f>ROUND('T1'!F18-'T1'!F60,$D$31)</f>
        <v>454600.14399999997</v>
      </c>
      <c r="F33" s="672">
        <f>ROUND('T1'!G18-'T1'!G60,$D$31)</f>
        <v>461305.61800000002</v>
      </c>
      <c r="G33" s="672">
        <f>ROUND('T1'!H18-'T1'!H60,$D$31)</f>
        <v>460212.88199999998</v>
      </c>
      <c r="H33" s="672">
        <f>ROUND('T1'!I18-'T1'!I60,$D$31)</f>
        <v>478363.13900000002</v>
      </c>
      <c r="I33" s="672">
        <f>ROUND('T1'!J18-'T1'!J60,$D$31)</f>
        <v>467804.03100000002</v>
      </c>
      <c r="J33" s="672">
        <f>ROUND('T1'!K18-'T1'!K60,$D$31)</f>
        <v>409579.09100000001</v>
      </c>
      <c r="K33" s="672">
        <f>ROUND('T1'!L18-'T1'!L60,$D$31)</f>
        <v>411164.20199999999</v>
      </c>
      <c r="L33" s="672">
        <f>ROUND('T1'!M18-'T1'!M60,$D$31)</f>
        <v>820743.29299999995</v>
      </c>
      <c r="M33" s="672">
        <f>ROUND('T1'!N18-'T1'!N60,$D$31)</f>
        <v>409243.45899999997</v>
      </c>
      <c r="N33" s="672">
        <f>ROUND('T1'!O18-'T1'!O60,$D$31)</f>
        <v>430889.41700000002</v>
      </c>
      <c r="O33" s="672">
        <f>ROUND('T1'!P18-'T1'!P60,$D$31)</f>
        <v>446675.24</v>
      </c>
      <c r="P33" s="16"/>
      <c r="Q33" s="672">
        <f>ROUND('T1'!R18-'T1'!R60,$D$31)</f>
        <v>409579.09100000001</v>
      </c>
      <c r="R33" s="16"/>
      <c r="S33" s="16"/>
      <c r="T33" s="16"/>
      <c r="U33" s="16"/>
      <c r="V33" s="16"/>
    </row>
    <row r="34" spans="1:25" s="1085" customFormat="1">
      <c r="A34" s="33" t="s">
        <v>569</v>
      </c>
      <c r="B34" s="34" t="s">
        <v>16</v>
      </c>
      <c r="C34" s="35" t="s">
        <v>570</v>
      </c>
      <c r="D34" s="1083">
        <v>3</v>
      </c>
      <c r="E34" s="37" t="b">
        <f>ROUND('T1'!F61,$D$34)=ROUND('T1 ENBR'!F61+'T1 ENGM'!F61+'T1 ENZV'!F61+'T1 ENVA'!F61,$D$34)</f>
        <v>1</v>
      </c>
      <c r="F34" s="37" t="b">
        <f>ROUND('T1'!G61,$D$34)=ROUND('T1 ENBR'!G61+'T1 ENGM'!G61+'T1 ENZV'!G61+'T1 ENVA'!G61,$D$34)</f>
        <v>0</v>
      </c>
      <c r="G34" s="37" t="b">
        <f>ROUND('T1'!H61,$D$34)=ROUND('T1 ENBR'!H61+'T1 ENGM'!H61+'T1 ENZV'!H61+'T1 ENVA'!H61,$D$34)</f>
        <v>0</v>
      </c>
      <c r="H34" s="37" t="b">
        <f>ROUND('T1'!I61,$D$34)=ROUND('T1 ENBR'!I61+'T1 ENGM'!I61+'T1 ENZV'!I61+'T1 ENVA'!I61,$D$34)</f>
        <v>1</v>
      </c>
      <c r="I34" s="37" t="b">
        <f>ROUND('T1'!J61,$D$34)=ROUND('T1 ENBR'!J61+'T1 ENGM'!J61+'T1 ENZV'!J61+'T1 ENVA'!J61,$D$34)</f>
        <v>1</v>
      </c>
      <c r="J34" s="37" t="b">
        <f>ROUND('T1'!K61,$D$34)=ROUND('T1 ENBR'!K61+'T1 ENGM'!K61+'T1 ENZV'!K61+'T1 ENVA'!K61,$D$34)</f>
        <v>1</v>
      </c>
      <c r="K34" s="37" t="b">
        <f>ROUND('T1'!L61,$D$34)=ROUND('T1 ENBR'!L61+'T1 ENGM'!L61+'T1 ENZV'!L61+'T1 ENVA'!L61,$D$34)</f>
        <v>1</v>
      </c>
      <c r="L34" s="37" t="b">
        <f>ROUND('T1'!M61,$D$34)=ROUND('T1 ENBR'!M61+'T1 ENGM'!M61+'T1 ENZV'!M61+'T1 ENVA'!M61,$D$34)</f>
        <v>1</v>
      </c>
      <c r="M34" s="37" t="b">
        <f>ROUND('T1'!N61,$D$34)=ROUND('T1 ENBR'!N61+'T1 ENGM'!N61+'T1 ENZV'!N61+'T1 ENVA'!N61,$D$34)</f>
        <v>1</v>
      </c>
      <c r="N34" s="37" t="b">
        <f>ROUND('T1'!O61,$D$34)=ROUND('T1 ENBR'!O61+'T1 ENGM'!O61+'T1 ENZV'!O61+'T1 ENVA'!O61,$D$34)</f>
        <v>1</v>
      </c>
      <c r="O34" s="37" t="b">
        <f>ROUND('T1'!P61,$D$34)=ROUND('T1 ENBR'!P61+'T1 ENGM'!P61+'T1 ENZV'!P61+'T1 ENVA'!P61,$D$34)</f>
        <v>1</v>
      </c>
      <c r="P34" s="16"/>
      <c r="Q34" s="37" t="b">
        <f>ROUND('T1'!R61,$D$34)=ROUND('T1 ENBR'!R61+'T1 ENGM'!R61+'T1 ENZV'!R61+'T1 ENVA'!R61,$D$34)</f>
        <v>1</v>
      </c>
      <c r="R34" s="1084"/>
      <c r="S34" s="1084"/>
      <c r="T34" s="1084"/>
      <c r="U34" s="1084"/>
      <c r="V34" s="1084"/>
      <c r="W34" s="1084"/>
      <c r="X34" s="1084"/>
      <c r="Y34" s="1084"/>
    </row>
    <row r="35" spans="1:25" s="1085" customFormat="1" outlineLevel="1">
      <c r="A35" s="39"/>
      <c r="B35" s="40"/>
      <c r="C35" s="41" t="s">
        <v>571</v>
      </c>
      <c r="D35" s="1086"/>
      <c r="E35" s="672">
        <f>ROUND('T1'!F61,$D$34)</f>
        <v>454600.14399999997</v>
      </c>
      <c r="F35" s="672">
        <f>ROUND('T1'!G61,$D$34)</f>
        <v>461305.61800000002</v>
      </c>
      <c r="G35" s="672">
        <f>ROUND('T1'!H61,$D$34)</f>
        <v>460212.88199999998</v>
      </c>
      <c r="H35" s="672">
        <f>ROUND('T1'!I61,$D$34)</f>
        <v>478363.13900000002</v>
      </c>
      <c r="I35" s="672">
        <f>ROUND('T1'!J61,$D$34)</f>
        <v>467804.03100000002</v>
      </c>
      <c r="J35" s="672">
        <f>ROUND('T1'!K61,$D$34)</f>
        <v>409579.09100000001</v>
      </c>
      <c r="K35" s="672">
        <f>ROUND('T1'!L61,$D$34)</f>
        <v>411164.20199999999</v>
      </c>
      <c r="L35" s="672">
        <f>ROUND('T1'!M61,$D$34)</f>
        <v>820743.29299999995</v>
      </c>
      <c r="M35" s="672">
        <f>ROUND('T1'!N61,$D$34)</f>
        <v>409243.45899999997</v>
      </c>
      <c r="N35" s="672">
        <f>ROUND('T1'!O61,$D$34)</f>
        <v>430889.41700000002</v>
      </c>
      <c r="O35" s="672">
        <f>ROUND('T1'!P61,$D$34)</f>
        <v>446675.24</v>
      </c>
      <c r="P35" s="16"/>
      <c r="Q35" s="672">
        <f>ROUND('T1'!R61,$D$34)</f>
        <v>409579.09100000001</v>
      </c>
      <c r="R35" s="1084"/>
      <c r="S35" s="1084"/>
      <c r="T35" s="1084"/>
      <c r="U35" s="1084"/>
      <c r="V35" s="1084"/>
      <c r="W35" s="1084"/>
      <c r="X35" s="1084"/>
      <c r="Y35" s="1084"/>
    </row>
    <row r="36" spans="1:25" s="1085" customFormat="1" outlineLevel="1">
      <c r="A36" s="39"/>
      <c r="B36" s="40"/>
      <c r="C36" s="41" t="s">
        <v>572</v>
      </c>
      <c r="D36" s="1086"/>
      <c r="E36" s="672">
        <f>ROUND('T1 ENBR'!F61+'T1 ENGM'!F61+'T1 ENZV'!F61+'T1 ENVA'!F61,$D$34)</f>
        <v>454600.14399999997</v>
      </c>
      <c r="F36" s="672">
        <f>ROUND('T1 ENBR'!G61+'T1 ENGM'!G61+'T1 ENZV'!G61+'T1 ENVA'!G61,$D$34)</f>
        <v>461305.61700000003</v>
      </c>
      <c r="G36" s="672">
        <f>ROUND('T1 ENBR'!H61+'T1 ENGM'!H61+'T1 ENZV'!H61+'T1 ENVA'!H61,$D$34)</f>
        <v>460216.01</v>
      </c>
      <c r="H36" s="672">
        <f>ROUND('T1 ENBR'!I61+'T1 ENGM'!I61+'T1 ENZV'!I61+'T1 ENVA'!I61,$D$34)</f>
        <v>478363.13900000002</v>
      </c>
      <c r="I36" s="672">
        <f>ROUND('T1 ENBR'!J61+'T1 ENGM'!J61+'T1 ENZV'!J61+'T1 ENVA'!J61,$D$34)</f>
        <v>467804.03100000002</v>
      </c>
      <c r="J36" s="672">
        <f>ROUND('T1 ENBR'!K61+'T1 ENGM'!K61+'T1 ENZV'!K61+'T1 ENVA'!K61,$D$34)</f>
        <v>409579.09100000001</v>
      </c>
      <c r="K36" s="672">
        <f>ROUND('T1 ENBR'!L61+'T1 ENGM'!L61+'T1 ENZV'!L61+'T1 ENVA'!L61,$D$34)</f>
        <v>411164.20199999999</v>
      </c>
      <c r="L36" s="672">
        <f>ROUND('T1 ENBR'!M61+'T1 ENGM'!M61+'T1 ENZV'!M61+'T1 ENVA'!M61,$D$34)</f>
        <v>820743.29299999995</v>
      </c>
      <c r="M36" s="672">
        <f>ROUND('T1 ENBR'!N61+'T1 ENGM'!N61+'T1 ENZV'!N61+'T1 ENVA'!N61,$D$34)</f>
        <v>409243.45899999997</v>
      </c>
      <c r="N36" s="672">
        <f>ROUND('T1 ENBR'!O61+'T1 ENGM'!O61+'T1 ENZV'!O61+'T1 ENVA'!O61,$D$34)</f>
        <v>430889.41700000002</v>
      </c>
      <c r="O36" s="672">
        <f>ROUND('T1 ENBR'!P61+'T1 ENGM'!P61+'T1 ENZV'!P61+'T1 ENVA'!P61,$D$34)</f>
        <v>446675.24</v>
      </c>
      <c r="P36" s="16"/>
      <c r="Q36" s="672">
        <f>ROUND('T1 ENBR'!R61+'T1 ENGM'!R61+'T1 ENZV'!R61+'T1 ENVA'!R61,$D$34)</f>
        <v>409579.09100000001</v>
      </c>
      <c r="R36" s="1084"/>
      <c r="S36" s="1084"/>
      <c r="T36" s="1084"/>
      <c r="U36" s="1084"/>
      <c r="V36" s="1084"/>
      <c r="W36" s="1084"/>
      <c r="X36" s="1084"/>
      <c r="Y36" s="1084"/>
    </row>
    <row r="37" spans="1:25" s="1085" customFormat="1">
      <c r="A37" s="33" t="s">
        <v>573</v>
      </c>
      <c r="B37" s="34" t="s">
        <v>362</v>
      </c>
      <c r="C37" s="35" t="s">
        <v>574</v>
      </c>
      <c r="D37" s="1083">
        <v>3</v>
      </c>
      <c r="E37" s="37" t="b">
        <f>ROUND('T1'!F12,$D$37)=ROUND('T1 ENBR'!F12+'T1 ENGM'!F12+'T1 ENZV'!F12+'T1 ENVA'!F12,$D$37)</f>
        <v>1</v>
      </c>
      <c r="F37" s="37" t="b">
        <f>ROUND('T1'!G12,$D$37)=ROUND('T1 ENBR'!G12+'T1 ENGM'!G12+'T1 ENZV'!G12+'T1 ENVA'!G12,$D$37)</f>
        <v>1</v>
      </c>
      <c r="G37" s="37" t="b">
        <f>ROUND('T1'!H12,$D$37)=ROUND('T1 ENBR'!H12+'T1 ENGM'!H12+'T1 ENZV'!H12+'T1 ENVA'!H12,$D$37)</f>
        <v>1</v>
      </c>
      <c r="H37" s="37" t="b">
        <f>ROUND('T1'!I12,$D$37)=ROUND('T1 ENBR'!I12+'T1 ENGM'!I12+'T1 ENZV'!I12+'T1 ENVA'!I12,$D$37)</f>
        <v>1</v>
      </c>
      <c r="I37" s="37" t="b">
        <f>ROUND('T1'!J12,$D$37)=ROUND('T1 ENBR'!J12+'T1 ENGM'!J12+'T1 ENZV'!J12+'T1 ENVA'!J12,$D$37)</f>
        <v>1</v>
      </c>
      <c r="J37" s="37" t="b">
        <f>ROUND('T1'!K12,$D$37)=ROUND('T1 ENBR'!K12+'T1 ENGM'!K12+'T1 ENZV'!K12+'T1 ENVA'!K12,$D$37)</f>
        <v>1</v>
      </c>
      <c r="K37" s="37" t="b">
        <f>ROUND('T1'!L12,$D$37)=ROUND('T1 ENBR'!L12+'T1 ENGM'!L12+'T1 ENZV'!L12+'T1 ENVA'!L12,$D$37)</f>
        <v>1</v>
      </c>
      <c r="L37" s="37" t="b">
        <f>ROUND('T1'!M12,$D$37)=ROUND('T1 ENBR'!M12+'T1 ENGM'!M12+'T1 ENZV'!M12+'T1 ENVA'!M12,$D$37)</f>
        <v>1</v>
      </c>
      <c r="M37" s="37" t="b">
        <f>ROUND('T1'!N12,$D$37)=ROUND('T1 ENBR'!N12+'T1 ENGM'!N12+'T1 ENZV'!N12+'T1 ENVA'!N12,$D$37)</f>
        <v>1</v>
      </c>
      <c r="N37" s="37" t="b">
        <f>ROUND('T1'!O12,$D$37)=ROUND('T1 ENBR'!O12+'T1 ENGM'!O12+'T1 ENZV'!O12+'T1 ENVA'!O12,$D$37)</f>
        <v>1</v>
      </c>
      <c r="O37" s="37" t="b">
        <f>ROUND('T1'!P12,$D$37)=ROUND('T1 ENBR'!P12+'T1 ENGM'!P12+'T1 ENZV'!P12+'T1 ENVA'!P12,$D$37)</f>
        <v>1</v>
      </c>
      <c r="P37" s="16"/>
      <c r="Q37" s="37" t="b">
        <f>ROUND('T1'!R12,$D$37)=ROUND('T1 ENBR'!R12+'T1 ENGM'!R12+'T1 ENZV'!R12+'T1 ENVA'!R12,$D$37)</f>
        <v>1</v>
      </c>
      <c r="R37" s="1084"/>
      <c r="S37" s="1084"/>
      <c r="T37" s="1084"/>
      <c r="U37" s="1084"/>
      <c r="V37" s="1084"/>
      <c r="W37" s="1084"/>
      <c r="X37" s="1084"/>
      <c r="Y37" s="1084"/>
    </row>
    <row r="38" spans="1:25" s="1085" customFormat="1" outlineLevel="1">
      <c r="A38" s="39"/>
      <c r="B38" s="40"/>
      <c r="C38" s="41" t="s">
        <v>575</v>
      </c>
      <c r="D38" s="1086"/>
      <c r="E38" s="672">
        <f>ROUND('T1'!F12,$D$37)</f>
        <v>312372.14399999997</v>
      </c>
      <c r="F38" s="672">
        <f>ROUND('T1'!G12,$D$37)</f>
        <v>286409.223</v>
      </c>
      <c r="G38" s="672">
        <f>ROUND('T1'!H12,$D$37)</f>
        <v>273959.84700000001</v>
      </c>
      <c r="H38" s="672">
        <f>ROUND('T1'!I12,$D$37)</f>
        <v>286831.73700000002</v>
      </c>
      <c r="I38" s="672">
        <f>ROUND('T1'!J12,$D$37)</f>
        <v>294098.815</v>
      </c>
      <c r="J38" s="672">
        <f>ROUND('T1'!K12,$D$37)</f>
        <v>241764.80499999999</v>
      </c>
      <c r="K38" s="672">
        <f>ROUND('T1'!L12,$D$37)</f>
        <v>236078.166</v>
      </c>
      <c r="L38" s="672">
        <f>ROUND('T1'!M12,$D$37)</f>
        <v>477842.97100000002</v>
      </c>
      <c r="M38" s="672">
        <f>ROUND('T1'!N12,$D$37)</f>
        <v>240998.08100000001</v>
      </c>
      <c r="N38" s="672">
        <f>ROUND('T1'!O12,$D$37)</f>
        <v>245960.78599999999</v>
      </c>
      <c r="O38" s="672">
        <f>ROUND('T1'!P12,$D$37)</f>
        <v>253746.255</v>
      </c>
      <c r="P38" s="16"/>
      <c r="Q38" s="672">
        <f>ROUND('T1'!R12,$D$37)</f>
        <v>241764.80499999999</v>
      </c>
      <c r="R38" s="1084"/>
      <c r="S38" s="1084"/>
      <c r="T38" s="1084"/>
      <c r="U38" s="1084"/>
      <c r="V38" s="1084"/>
      <c r="W38" s="1084"/>
      <c r="X38" s="1084"/>
      <c r="Y38" s="1084"/>
    </row>
    <row r="39" spans="1:25" s="1085" customFormat="1" outlineLevel="1">
      <c r="A39" s="39"/>
      <c r="B39" s="40"/>
      <c r="C39" s="41" t="s">
        <v>576</v>
      </c>
      <c r="D39" s="1086"/>
      <c r="E39" s="672">
        <f>ROUND('T1 ENBR'!F12+'T1 ENGM'!F12+'T1 ENZV'!F12+'T1 ENVA'!F12,$D$37)</f>
        <v>312372.14399999997</v>
      </c>
      <c r="F39" s="672">
        <f>ROUND('T1 ENBR'!G12+'T1 ENGM'!G12+'T1 ENZV'!G12+'T1 ENVA'!G12,$D$37)</f>
        <v>286409.223</v>
      </c>
      <c r="G39" s="672">
        <f>ROUND('T1 ENBR'!H12+'T1 ENGM'!H12+'T1 ENZV'!H12+'T1 ENVA'!H12,$D$37)</f>
        <v>273959.84700000001</v>
      </c>
      <c r="H39" s="672">
        <f>ROUND('T1 ENBR'!I12+'T1 ENGM'!I12+'T1 ENZV'!I12+'T1 ENVA'!I12,$D$37)</f>
        <v>286831.73700000002</v>
      </c>
      <c r="I39" s="672">
        <f>ROUND('T1 ENBR'!J12+'T1 ENGM'!J12+'T1 ENZV'!J12+'T1 ENVA'!J12,$D$37)</f>
        <v>294098.815</v>
      </c>
      <c r="J39" s="672">
        <f>ROUND('T1 ENBR'!K12+'T1 ENGM'!K12+'T1 ENZV'!K12+'T1 ENVA'!K12,$D$37)</f>
        <v>241764.80499999999</v>
      </c>
      <c r="K39" s="672">
        <f>ROUND('T1 ENBR'!L12+'T1 ENGM'!L12+'T1 ENZV'!L12+'T1 ENVA'!L12,$D$37)</f>
        <v>236078.166</v>
      </c>
      <c r="L39" s="672">
        <f>ROUND('T1 ENBR'!M12+'T1 ENGM'!M12+'T1 ENZV'!M12+'T1 ENVA'!M12,$D$37)</f>
        <v>477842.97100000002</v>
      </c>
      <c r="M39" s="672">
        <f>ROUND('T1 ENBR'!N12+'T1 ENGM'!N12+'T1 ENZV'!N12+'T1 ENVA'!N12,$D$37)</f>
        <v>240998.08100000001</v>
      </c>
      <c r="N39" s="672">
        <f>ROUND('T1 ENBR'!O12+'T1 ENGM'!O12+'T1 ENZV'!O12+'T1 ENVA'!O12,$D$37)</f>
        <v>245960.78599999999</v>
      </c>
      <c r="O39" s="672">
        <f>ROUND('T1 ENBR'!P12+'T1 ENGM'!P12+'T1 ENZV'!P12+'T1 ENVA'!P12,$D$37)</f>
        <v>253746.255</v>
      </c>
      <c r="P39" s="16"/>
      <c r="Q39" s="672">
        <f>ROUND('T1 ENBR'!R12+'T1 ENGM'!R12+'T1 ENZV'!R12+'T1 ENVA'!R12,$D$37)</f>
        <v>241764.80499999999</v>
      </c>
      <c r="R39" s="1084"/>
      <c r="S39" s="1084"/>
      <c r="T39" s="1084"/>
      <c r="U39" s="1084"/>
      <c r="V39" s="1084"/>
      <c r="W39" s="1084"/>
      <c r="X39" s="1084"/>
      <c r="Y39" s="1084"/>
    </row>
    <row r="40" spans="1:25" s="1085" customFormat="1">
      <c r="A40" s="33" t="s">
        <v>577</v>
      </c>
      <c r="B40" s="34" t="s">
        <v>578</v>
      </c>
      <c r="C40" s="35" t="s">
        <v>579</v>
      </c>
      <c r="D40" s="1083">
        <v>3</v>
      </c>
      <c r="E40" s="37" t="b">
        <f>ROUND('T1'!F14,$D$40)=ROUND('T1 ENBR'!F14+'T1 ENGM'!F14+'T1 ENZV'!F14+'T1 ENVA'!F14,$D$40)</f>
        <v>1</v>
      </c>
      <c r="F40" s="37" t="b">
        <f>ROUND('T1'!G14,$D$40)=ROUND('T1 ENBR'!G14+'T1 ENGM'!G14+'T1 ENZV'!G14+'T1 ENVA'!G14,$D$40)</f>
        <v>1</v>
      </c>
      <c r="G40" s="37" t="b">
        <f>ROUND('T1'!H14,$D$40)=ROUND('T1 ENBR'!H14+'T1 ENGM'!H14+'T1 ENZV'!H14+'T1 ENVA'!H14,$D$40)</f>
        <v>1</v>
      </c>
      <c r="H40" s="37" t="b">
        <f>ROUND('T1'!I14,$D$40)=ROUND('T1 ENBR'!I14+'T1 ENGM'!I14+'T1 ENZV'!I14+'T1 ENVA'!I14,$D$40)</f>
        <v>1</v>
      </c>
      <c r="I40" s="37" t="b">
        <f>ROUND('T1'!J14,$D$40)=ROUND('T1 ENBR'!J14+'T1 ENGM'!J14+'T1 ENZV'!J14+'T1 ENVA'!J14,$D$40)</f>
        <v>1</v>
      </c>
      <c r="J40" s="37" t="b">
        <f>ROUND('T1'!K14,$D$40)=ROUND('T1 ENBR'!K14+'T1 ENGM'!K14+'T1 ENZV'!K14+'T1 ENVA'!K14,$D$40)</f>
        <v>1</v>
      </c>
      <c r="K40" s="37" t="b">
        <f>ROUND('T1'!L14,$D$40)=ROUND('T1 ENBR'!L14+'T1 ENGM'!L14+'T1 ENZV'!L14+'T1 ENVA'!L14,$D$40)</f>
        <v>1</v>
      </c>
      <c r="L40" s="37" t="b">
        <f>ROUND('T1'!M14,$D$40)=ROUND('T1 ENBR'!M14+'T1 ENGM'!M14+'T1 ENZV'!M14+'T1 ENVA'!M14,$D$40)</f>
        <v>1</v>
      </c>
      <c r="M40" s="37" t="b">
        <f>ROUND('T1'!N14,$D$40)=ROUND('T1 ENBR'!N14+'T1 ENGM'!N14+'T1 ENZV'!N14+'T1 ENVA'!N14,$D$40)</f>
        <v>1</v>
      </c>
      <c r="N40" s="37" t="b">
        <f>ROUND('T1'!O14,$D$40)=ROUND('T1 ENBR'!O14+'T1 ENGM'!O14+'T1 ENZV'!O14+'T1 ENVA'!O14,$D$40)</f>
        <v>1</v>
      </c>
      <c r="O40" s="37" t="b">
        <f>ROUND('T1'!P14,$D$40)=ROUND('T1 ENBR'!P14+'T1 ENGM'!P14+'T1 ENZV'!P14+'T1 ENVA'!P14,$D$40)</f>
        <v>1</v>
      </c>
      <c r="P40" s="16"/>
      <c r="Q40" s="37" t="b">
        <f>ROUND('T1'!R14,$D$40)=ROUND('T1 ENBR'!R14+'T1 ENGM'!R14+'T1 ENZV'!R14+'T1 ENVA'!R14,$D$40)</f>
        <v>1</v>
      </c>
      <c r="R40" s="1084"/>
      <c r="S40" s="1084"/>
      <c r="T40" s="1084"/>
      <c r="U40" s="1084"/>
      <c r="V40" s="1084"/>
      <c r="W40" s="1084"/>
      <c r="X40" s="1084"/>
      <c r="Y40" s="1084"/>
    </row>
    <row r="41" spans="1:25" s="1085" customFormat="1" outlineLevel="1">
      <c r="A41" s="39"/>
      <c r="B41" s="40"/>
      <c r="C41" s="41" t="s">
        <v>580</v>
      </c>
      <c r="D41" s="1086"/>
      <c r="E41" s="672">
        <f>ROUND('T1'!F14,$D$40)</f>
        <v>108299.268</v>
      </c>
      <c r="F41" s="672">
        <f>ROUND('T1'!G14,$D$40)</f>
        <v>102322.07399999999</v>
      </c>
      <c r="G41" s="672">
        <f>ROUND('T1'!H14,$D$40)</f>
        <v>100129.908</v>
      </c>
      <c r="H41" s="672">
        <f>ROUND('T1'!I14,$D$40)</f>
        <v>106885.06200000001</v>
      </c>
      <c r="I41" s="672">
        <f>ROUND('T1'!J14,$D$40)</f>
        <v>116607.659</v>
      </c>
      <c r="J41" s="672">
        <f>ROUND('T1'!K14,$D$40)</f>
        <v>98794.31</v>
      </c>
      <c r="K41" s="672">
        <f>ROUND('T1'!L14,$D$40)</f>
        <v>107758.592</v>
      </c>
      <c r="L41" s="672">
        <f>ROUND('T1'!M14,$D$40)</f>
        <v>206552.902</v>
      </c>
      <c r="M41" s="672">
        <f>ROUND('T1'!N14,$D$40)</f>
        <v>102220.927</v>
      </c>
      <c r="N41" s="672">
        <f>ROUND('T1'!O14,$D$40)</f>
        <v>112686.375</v>
      </c>
      <c r="O41" s="672">
        <f>ROUND('T1'!P14,$D$40)</f>
        <v>116233.609</v>
      </c>
      <c r="P41" s="16"/>
      <c r="Q41" s="672">
        <f>ROUND('T1'!R14,$D$40)</f>
        <v>98794.31</v>
      </c>
      <c r="R41" s="1084"/>
      <c r="S41" s="1084"/>
      <c r="T41" s="1084"/>
      <c r="U41" s="1084"/>
      <c r="V41" s="1084"/>
      <c r="W41" s="1084"/>
      <c r="X41" s="1084"/>
      <c r="Y41" s="1084"/>
    </row>
    <row r="42" spans="1:25" s="1085" customFormat="1" outlineLevel="1">
      <c r="A42" s="39"/>
      <c r="B42" s="40"/>
      <c r="C42" s="41" t="s">
        <v>581</v>
      </c>
      <c r="D42" s="1086"/>
      <c r="E42" s="672">
        <f>ROUND('T1 ENBR'!F14+'T1 ENGM'!F14+'T1 ENZV'!F14+'T1 ENVA'!F14,$D$40)</f>
        <v>108299.268</v>
      </c>
      <c r="F42" s="672">
        <f>ROUND('T1 ENBR'!G14+'T1 ENGM'!G14+'T1 ENZV'!G14+'T1 ENVA'!G14,$D$40)</f>
        <v>102322.07399999999</v>
      </c>
      <c r="G42" s="672">
        <f>ROUND('T1 ENBR'!H14+'T1 ENGM'!H14+'T1 ENZV'!H14+'T1 ENVA'!H14,$D$40)</f>
        <v>100129.908</v>
      </c>
      <c r="H42" s="672">
        <f>ROUND('T1 ENBR'!I14+'T1 ENGM'!I14+'T1 ENZV'!I14+'T1 ENVA'!I14,$D$40)</f>
        <v>106885.06200000001</v>
      </c>
      <c r="I42" s="672">
        <f>ROUND('T1 ENBR'!J14+'T1 ENGM'!J14+'T1 ENZV'!J14+'T1 ENVA'!J14,$D$40)</f>
        <v>116607.659</v>
      </c>
      <c r="J42" s="672">
        <f>ROUND('T1 ENBR'!K14+'T1 ENGM'!K14+'T1 ENZV'!K14+'T1 ENVA'!K14,$D$40)</f>
        <v>98794.31</v>
      </c>
      <c r="K42" s="672">
        <f>ROUND('T1 ENBR'!L14+'T1 ENGM'!L14+'T1 ENZV'!L14+'T1 ENVA'!L14,$D$40)</f>
        <v>107758.592</v>
      </c>
      <c r="L42" s="672">
        <f>ROUND('T1 ENBR'!M14+'T1 ENGM'!M14+'T1 ENZV'!M14+'T1 ENVA'!M14,$D$40)</f>
        <v>206552.902</v>
      </c>
      <c r="M42" s="672">
        <f>ROUND('T1 ENBR'!N14+'T1 ENGM'!N14+'T1 ENZV'!N14+'T1 ENVA'!N14,$D$40)</f>
        <v>102220.927</v>
      </c>
      <c r="N42" s="672">
        <f>ROUND('T1 ENBR'!O14+'T1 ENGM'!O14+'T1 ENZV'!O14+'T1 ENVA'!O14,$D$40)</f>
        <v>112686.375</v>
      </c>
      <c r="O42" s="672">
        <f>ROUND('T1 ENBR'!P14+'T1 ENGM'!P14+'T1 ENZV'!P14+'T1 ENVA'!P14,$D$40)</f>
        <v>116233.609</v>
      </c>
      <c r="P42" s="16"/>
      <c r="Q42" s="672">
        <f>ROUND('T1 ENBR'!R14+'T1 ENGM'!R14+'T1 ENZV'!R14+'T1 ENVA'!R14,$D$40)</f>
        <v>98794.31</v>
      </c>
      <c r="R42" s="1084"/>
      <c r="S42" s="1084"/>
      <c r="T42" s="1084"/>
      <c r="U42" s="1084"/>
      <c r="V42" s="1084"/>
      <c r="W42" s="1084"/>
      <c r="X42" s="1084"/>
      <c r="Y42" s="1084"/>
    </row>
    <row r="43" spans="1:25" s="1085" customFormat="1">
      <c r="A43" s="33" t="s">
        <v>582</v>
      </c>
      <c r="B43" s="34" t="s">
        <v>583</v>
      </c>
      <c r="C43" s="35" t="s">
        <v>584</v>
      </c>
      <c r="D43" s="1083">
        <v>3</v>
      </c>
      <c r="E43" s="37" t="b">
        <f>ROUND('T1'!F15,$D$43)=ROUND('T1 ENBR'!F15+'T1 ENGM'!F15+'T1 ENZV'!F15+'T1 ENVA'!F15,$D$43)</f>
        <v>1</v>
      </c>
      <c r="F43" s="37" t="b">
        <f>ROUND('T1'!G15,$D$43)=ROUND('T1 ENBR'!G15+'T1 ENGM'!G15+'T1 ENZV'!G15+'T1 ENVA'!G15,$D$43)</f>
        <v>1</v>
      </c>
      <c r="G43" s="37" t="b">
        <f>ROUND('T1'!H15,$D$43)=ROUND('T1 ENBR'!H15+'T1 ENGM'!H15+'T1 ENZV'!H15+'T1 ENVA'!H15,$D$43)</f>
        <v>1</v>
      </c>
      <c r="H43" s="37" t="b">
        <f>ROUND('T1'!I15,$D$43)=ROUND('T1 ENBR'!I15+'T1 ENGM'!I15+'T1 ENZV'!I15+'T1 ENVA'!I15,$D$43)</f>
        <v>1</v>
      </c>
      <c r="I43" s="37" t="b">
        <f>ROUND('T1'!J15,$D$43)=ROUND('T1 ENBR'!J15+'T1 ENGM'!J15+'T1 ENZV'!J15+'T1 ENVA'!J15,$D$43)</f>
        <v>1</v>
      </c>
      <c r="J43" s="37" t="b">
        <f>ROUND('T1'!K15,$D$43)=ROUND('T1 ENBR'!K15+'T1 ENGM'!K15+'T1 ENZV'!K15+'T1 ENVA'!K15,$D$43)</f>
        <v>1</v>
      </c>
      <c r="K43" s="37" t="b">
        <f>ROUND('T1'!L15,$D$43)=ROUND('T1 ENBR'!L15+'T1 ENGM'!L15+'T1 ENZV'!L15+'T1 ENVA'!L15,$D$43)</f>
        <v>1</v>
      </c>
      <c r="L43" s="37" t="b">
        <f>ROUND('T1'!M15,$D$43)=ROUND('T1 ENBR'!M15+'T1 ENGM'!M15+'T1 ENZV'!M15+'T1 ENVA'!M15,$D$43)</f>
        <v>1</v>
      </c>
      <c r="M43" s="37" t="b">
        <f>ROUND('T1'!N15,$D$43)=ROUND('T1 ENBR'!N15+'T1 ENGM'!N15+'T1 ENZV'!N15+'T1 ENVA'!N15,$D$43)</f>
        <v>1</v>
      </c>
      <c r="N43" s="37" t="b">
        <f>ROUND('T1'!O15,$D$43)=ROUND('T1 ENBR'!O15+'T1 ENGM'!O15+'T1 ENZV'!O15+'T1 ENVA'!O15,$D$43)</f>
        <v>1</v>
      </c>
      <c r="O43" s="37" t="b">
        <f>ROUND('T1'!P15,$D$43)=ROUND('T1 ENBR'!P15+'T1 ENGM'!P15+'T1 ENZV'!P15+'T1 ENVA'!P15,$D$43)</f>
        <v>1</v>
      </c>
      <c r="P43" s="16"/>
      <c r="Q43" s="37" t="b">
        <f>ROUND('T1'!R15,$D$43)=ROUND('T1 ENBR'!R15+'T1 ENGM'!R15+'T1 ENZV'!R15+'T1 ENVA'!R15,$D$43)</f>
        <v>1</v>
      </c>
      <c r="R43" s="1084"/>
      <c r="S43" s="1084"/>
      <c r="T43" s="1084"/>
      <c r="U43" s="1084"/>
      <c r="V43" s="1084"/>
      <c r="W43" s="1084"/>
      <c r="X43" s="1084"/>
      <c r="Y43" s="1084"/>
    </row>
    <row r="44" spans="1:25" s="1085" customFormat="1" outlineLevel="1">
      <c r="A44" s="39"/>
      <c r="B44" s="40"/>
      <c r="C44" s="41" t="s">
        <v>585</v>
      </c>
      <c r="D44" s="1086"/>
      <c r="E44" s="672">
        <f>ROUND('T1'!F15,$D$43)</f>
        <v>20235.348999999998</v>
      </c>
      <c r="F44" s="672">
        <f>ROUND('T1'!G15,$D$43)</f>
        <v>40634.974000000002</v>
      </c>
      <c r="G44" s="672">
        <f>ROUND('T1'!H15,$D$43)</f>
        <v>50380.875999999997</v>
      </c>
      <c r="H44" s="672">
        <f>ROUND('T1'!I15,$D$43)</f>
        <v>49124.485000000001</v>
      </c>
      <c r="I44" s="672">
        <f>ROUND('T1'!J15,$D$43)</f>
        <v>31269.8</v>
      </c>
      <c r="J44" s="672">
        <f>ROUND('T1'!K15,$D$43)</f>
        <v>39813.826999999997</v>
      </c>
      <c r="K44" s="672">
        <f>ROUND('T1'!L15,$D$43)</f>
        <v>37238.78</v>
      </c>
      <c r="L44" s="672">
        <f>ROUND('T1'!M15,$D$43)</f>
        <v>77052.607000000004</v>
      </c>
      <c r="M44" s="672">
        <f>ROUND('T1'!N15,$D$43)</f>
        <v>35699.478999999999</v>
      </c>
      <c r="N44" s="672">
        <f>ROUND('T1'!O15,$D$43)</f>
        <v>38376.535000000003</v>
      </c>
      <c r="O44" s="672">
        <f>ROUND('T1'!P15,$D$43)</f>
        <v>38244.631000000001</v>
      </c>
      <c r="P44" s="16"/>
      <c r="Q44" s="672">
        <f>ROUND('T1'!R15,$D$43)</f>
        <v>39813.826999999997</v>
      </c>
      <c r="R44" s="1084"/>
      <c r="S44" s="1084"/>
      <c r="T44" s="1084"/>
      <c r="U44" s="1084"/>
      <c r="V44" s="1084"/>
      <c r="W44" s="1084"/>
      <c r="X44" s="1084"/>
      <c r="Y44" s="1084"/>
    </row>
    <row r="45" spans="1:25" s="1085" customFormat="1" outlineLevel="1">
      <c r="A45" s="39"/>
      <c r="B45" s="40"/>
      <c r="C45" s="41" t="s">
        <v>586</v>
      </c>
      <c r="D45" s="1086"/>
      <c r="E45" s="672">
        <f>ROUND('T1 ENBR'!F15+'T1 ENGM'!F15+'T1 ENZV'!F15+'T1 ENVA'!F15,$D$43)</f>
        <v>20235.348999999998</v>
      </c>
      <c r="F45" s="672">
        <f>ROUND('T1 ENBR'!G15+'T1 ENGM'!G15+'T1 ENZV'!G15+'T1 ENVA'!G15,$D$43)</f>
        <v>40634.974000000002</v>
      </c>
      <c r="G45" s="672">
        <f>ROUND('T1 ENBR'!H15+'T1 ENGM'!H15+'T1 ENZV'!H15+'T1 ENVA'!H15,$D$43)</f>
        <v>50380.875999999997</v>
      </c>
      <c r="H45" s="672">
        <f>ROUND('T1 ENBR'!I15+'T1 ENGM'!I15+'T1 ENZV'!I15+'T1 ENVA'!I15,$D$43)</f>
        <v>49124.485000000001</v>
      </c>
      <c r="I45" s="672">
        <f>ROUND('T1 ENBR'!J15+'T1 ENGM'!J15+'T1 ENZV'!J15+'T1 ENVA'!J15,$D$43)</f>
        <v>31269.8</v>
      </c>
      <c r="J45" s="672">
        <f>ROUND('T1 ENBR'!K15+'T1 ENGM'!K15+'T1 ENZV'!K15+'T1 ENVA'!K15,$D$43)</f>
        <v>39813.826999999997</v>
      </c>
      <c r="K45" s="672">
        <f>ROUND('T1 ENBR'!L15+'T1 ENGM'!L15+'T1 ENZV'!L15+'T1 ENVA'!L15,$D$43)</f>
        <v>37238.78</v>
      </c>
      <c r="L45" s="672">
        <f>ROUND('T1 ENBR'!M15+'T1 ENGM'!M15+'T1 ENZV'!M15+'T1 ENVA'!M15,$D$43)</f>
        <v>77052.607000000004</v>
      </c>
      <c r="M45" s="672">
        <f>ROUND('T1 ENBR'!N15+'T1 ENGM'!N15+'T1 ENZV'!N15+'T1 ENVA'!N15,$D$43)</f>
        <v>35699.478999999999</v>
      </c>
      <c r="N45" s="672">
        <f>ROUND('T1 ENBR'!O15+'T1 ENGM'!O15+'T1 ENZV'!O15+'T1 ENVA'!O15,$D$43)</f>
        <v>38376.535000000003</v>
      </c>
      <c r="O45" s="672">
        <f>ROUND('T1 ENBR'!P15+'T1 ENGM'!P15+'T1 ENZV'!P15+'T1 ENVA'!P15,$D$43)</f>
        <v>38244.631000000001</v>
      </c>
      <c r="P45" s="16"/>
      <c r="Q45" s="672">
        <f>ROUND('T1 ENBR'!R15+'T1 ENGM'!R15+'T1 ENZV'!R15+'T1 ENVA'!R15,$D$43)</f>
        <v>39813.826999999997</v>
      </c>
      <c r="R45" s="1084"/>
      <c r="S45" s="1084"/>
      <c r="T45" s="1084"/>
      <c r="U45" s="1084"/>
      <c r="V45" s="1084"/>
      <c r="W45" s="1084"/>
      <c r="X45" s="1084"/>
      <c r="Y45" s="1084"/>
    </row>
    <row r="46" spans="1:25" s="1085" customFormat="1">
      <c r="A46" s="33" t="s">
        <v>587</v>
      </c>
      <c r="B46" s="34" t="s">
        <v>588</v>
      </c>
      <c r="C46" s="35" t="s">
        <v>589</v>
      </c>
      <c r="D46" s="1083">
        <v>3</v>
      </c>
      <c r="E46" s="37" t="b">
        <f>ROUND('T1'!F16,$D$46)=ROUND('T1 ENBR'!F16+'T1 ENGM'!F16+'T1 ENZV'!F16+'T1 ENVA'!F16,$D$46)</f>
        <v>1</v>
      </c>
      <c r="F46" s="37" t="b">
        <f>ROUND('T1'!G16,$D$46)=ROUND('T1 ENBR'!G16+'T1 ENGM'!G16+'T1 ENZV'!G16+'T1 ENVA'!G16,$D$46)</f>
        <v>1</v>
      </c>
      <c r="G46" s="37" t="b">
        <f>ROUND('T1'!H16,$D$46)=ROUND('T1 ENBR'!H16+'T1 ENGM'!H16+'T1 ENZV'!H16+'T1 ENVA'!H16,$D$46)</f>
        <v>1</v>
      </c>
      <c r="H46" s="37" t="b">
        <f>ROUND('T1'!I16,$D$46)=ROUND('T1 ENBR'!I16+'T1 ENGM'!I16+'T1 ENZV'!I16+'T1 ENVA'!I16,$D$46)</f>
        <v>1</v>
      </c>
      <c r="I46" s="37" t="b">
        <f>ROUND('T1'!J16,$D$46)=ROUND('T1 ENBR'!J16+'T1 ENGM'!J16+'T1 ENZV'!J16+'T1 ENVA'!J16,$D$46)</f>
        <v>1</v>
      </c>
      <c r="J46" s="37" t="b">
        <f>ROUND('T1'!K16,$D$46)=ROUND('T1 ENBR'!K16+'T1 ENGM'!K16+'T1 ENZV'!K16+'T1 ENVA'!K16,$D$46)</f>
        <v>1</v>
      </c>
      <c r="K46" s="37" t="b">
        <f>ROUND('T1'!L16,$D$46)=ROUND('T1 ENBR'!L16+'T1 ENGM'!L16+'T1 ENZV'!L16+'T1 ENVA'!L16,$D$46)</f>
        <v>1</v>
      </c>
      <c r="L46" s="37" t="b">
        <f>ROUND('T1'!M16,$D$46)=ROUND('T1 ENBR'!M16+'T1 ENGM'!M16+'T1 ENZV'!M16+'T1 ENVA'!M16,$D$46)</f>
        <v>1</v>
      </c>
      <c r="M46" s="37" t="b">
        <f>ROUND('T1'!N16,$D$46)=ROUND('T1 ENBR'!N16+'T1 ENGM'!N16+'T1 ENZV'!N16+'T1 ENVA'!N16,$D$46)</f>
        <v>1</v>
      </c>
      <c r="N46" s="37" t="b">
        <f>ROUND('T1'!O16,$D$46)=ROUND('T1 ENBR'!O16+'T1 ENGM'!O16+'T1 ENZV'!O16+'T1 ENVA'!O16,$D$46)</f>
        <v>1</v>
      </c>
      <c r="O46" s="37" t="b">
        <f>ROUND('T1'!P16,$D$46)=ROUND('T1 ENBR'!P16+'T1 ENGM'!P16+'T1 ENZV'!P16+'T1 ENVA'!P16,$D$46)</f>
        <v>1</v>
      </c>
      <c r="P46" s="16"/>
      <c r="Q46" s="37" t="b">
        <f>ROUND('T1'!R16,$D$46)=ROUND('T1 ENBR'!R16+'T1 ENGM'!R16+'T1 ENZV'!R16+'T1 ENVA'!R16,$D$46)</f>
        <v>1</v>
      </c>
      <c r="R46" s="1084"/>
      <c r="S46" s="1084"/>
      <c r="T46" s="1084"/>
      <c r="U46" s="1084"/>
      <c r="V46" s="1084"/>
      <c r="W46" s="1084"/>
      <c r="X46" s="1084"/>
      <c r="Y46" s="1084"/>
    </row>
    <row r="47" spans="1:25" s="1085" customFormat="1" outlineLevel="1">
      <c r="A47" s="39"/>
      <c r="B47" s="40"/>
      <c r="C47" s="41" t="s">
        <v>590</v>
      </c>
      <c r="D47" s="1086"/>
      <c r="E47" s="672">
        <f>ROUND('T1'!F16,$D$46)</f>
        <v>14832.731</v>
      </c>
      <c r="F47" s="672">
        <f>ROUND('T1'!G16,$D$46)</f>
        <v>33095.500999999997</v>
      </c>
      <c r="G47" s="672">
        <f>ROUND('T1'!H16,$D$46)</f>
        <v>36895.667000000001</v>
      </c>
      <c r="H47" s="672">
        <f>ROUND('T1'!I16,$D$46)</f>
        <v>36720.76</v>
      </c>
      <c r="I47" s="672">
        <f>ROUND('T1'!J16,$D$46)</f>
        <v>27000.198</v>
      </c>
      <c r="J47" s="672">
        <f>ROUND('T1'!K16,$D$46)</f>
        <v>30232.663</v>
      </c>
      <c r="K47" s="672">
        <f>ROUND('T1'!L16,$D$46)</f>
        <v>31119.151999999998</v>
      </c>
      <c r="L47" s="672">
        <f>ROUND('T1'!M16,$D$46)</f>
        <v>61351.813999999998</v>
      </c>
      <c r="M47" s="672">
        <f>ROUND('T1'!N16,$D$46)</f>
        <v>31350.645</v>
      </c>
      <c r="N47" s="672">
        <f>ROUND('T1'!O16,$D$46)</f>
        <v>34945.644999999997</v>
      </c>
      <c r="O47" s="672">
        <f>ROUND('T1'!P16,$D$46)</f>
        <v>39570.232000000004</v>
      </c>
      <c r="P47" s="16"/>
      <c r="Q47" s="672">
        <f>ROUND('T1'!R16,$D$46)</f>
        <v>30232.663</v>
      </c>
      <c r="R47" s="1084"/>
      <c r="S47" s="1084"/>
      <c r="T47" s="1084"/>
      <c r="U47" s="1084"/>
      <c r="V47" s="1084"/>
      <c r="W47" s="1084"/>
      <c r="X47" s="1084"/>
      <c r="Y47" s="1084"/>
    </row>
    <row r="48" spans="1:25" s="1085" customFormat="1" outlineLevel="1">
      <c r="A48" s="39"/>
      <c r="B48" s="40"/>
      <c r="C48" s="41" t="s">
        <v>591</v>
      </c>
      <c r="D48" s="1086"/>
      <c r="E48" s="672">
        <f>ROUND('T1 ENBR'!F16+'T1 ENGM'!F16+'T1 ENZV'!F16+'T1 ENVA'!F16,$D$46)</f>
        <v>14832.731</v>
      </c>
      <c r="F48" s="672">
        <f>ROUND('T1 ENBR'!G16+'T1 ENGM'!G16+'T1 ENZV'!G16+'T1 ENVA'!G16,$D$46)</f>
        <v>33095.500999999997</v>
      </c>
      <c r="G48" s="672">
        <f>ROUND('T1 ENBR'!H16+'T1 ENGM'!H16+'T1 ENZV'!H16+'T1 ENVA'!H16,$D$46)</f>
        <v>36895.667000000001</v>
      </c>
      <c r="H48" s="672">
        <f>ROUND('T1 ENBR'!I16+'T1 ENGM'!I16+'T1 ENZV'!I16+'T1 ENVA'!I16,$D$46)</f>
        <v>36720.76</v>
      </c>
      <c r="I48" s="672">
        <f>ROUND('T1 ENBR'!J16+'T1 ENGM'!J16+'T1 ENZV'!J16+'T1 ENVA'!J16,$D$46)</f>
        <v>27000.198</v>
      </c>
      <c r="J48" s="672">
        <f>ROUND('T1 ENBR'!K16+'T1 ENGM'!K16+'T1 ENZV'!K16+'T1 ENVA'!K16,$D$46)</f>
        <v>30232.663</v>
      </c>
      <c r="K48" s="672">
        <f>ROUND('T1 ENBR'!L16+'T1 ENGM'!L16+'T1 ENZV'!L16+'T1 ENVA'!L16,$D$46)</f>
        <v>31119.151999999998</v>
      </c>
      <c r="L48" s="672">
        <f>ROUND('T1 ENBR'!M16+'T1 ENGM'!M16+'T1 ENZV'!M16+'T1 ENVA'!M16,$D$46)</f>
        <v>61351.813999999998</v>
      </c>
      <c r="M48" s="672">
        <f>ROUND('T1 ENBR'!N16+'T1 ENGM'!N16+'T1 ENZV'!N16+'T1 ENVA'!N16,$D$46)</f>
        <v>31350.645</v>
      </c>
      <c r="N48" s="672">
        <f>ROUND('T1 ENBR'!O16+'T1 ENGM'!O16+'T1 ENZV'!O16+'T1 ENVA'!O16,$D$46)</f>
        <v>34945.644999999997</v>
      </c>
      <c r="O48" s="672">
        <f>ROUND('T1 ENBR'!P16+'T1 ENGM'!P16+'T1 ENZV'!P16+'T1 ENVA'!P16,$D$46)</f>
        <v>39570.232000000004</v>
      </c>
      <c r="P48" s="16"/>
      <c r="Q48" s="672">
        <f>ROUND('T1 ENBR'!R16+'T1 ENGM'!R16+'T1 ENZV'!R16+'T1 ENVA'!R16,$D$46)</f>
        <v>30232.663</v>
      </c>
      <c r="R48" s="1084"/>
      <c r="S48" s="1084"/>
      <c r="T48" s="1084"/>
      <c r="U48" s="1084"/>
      <c r="V48" s="1084"/>
      <c r="W48" s="1084"/>
      <c r="X48" s="1084"/>
      <c r="Y48" s="1084"/>
    </row>
    <row r="49" spans="1:25" s="1085" customFormat="1">
      <c r="A49" s="33" t="s">
        <v>592</v>
      </c>
      <c r="B49" s="34" t="s">
        <v>593</v>
      </c>
      <c r="C49" s="35" t="s">
        <v>594</v>
      </c>
      <c r="D49" s="1083">
        <v>3</v>
      </c>
      <c r="E49" s="37" t="b">
        <f>ROUND('T1'!F17,$D$49)=ROUND('T1 ENBR'!F17+'T1 ENGM'!F17+'T1 ENZV'!F17+'T1 ENVA'!F17,$D$49)</f>
        <v>1</v>
      </c>
      <c r="F49" s="37" t="b">
        <f>ROUND('T1'!G17,$D$49)=ROUND('T1 ENBR'!G17+'T1 ENGM'!G17+'T1 ENZV'!G17+'T1 ENVA'!G17,$D$49)</f>
        <v>1</v>
      </c>
      <c r="G49" s="37" t="b">
        <f>ROUND('T1'!H17,$D$49)=ROUND('T1 ENBR'!H17+'T1 ENGM'!H17+'T1 ENZV'!H17+'T1 ENVA'!H17,$D$49)</f>
        <v>1</v>
      </c>
      <c r="H49" s="37" t="b">
        <f>ROUND('T1'!I17,$D$49)=ROUND('T1 ENBR'!I17+'T1 ENGM'!I17+'T1 ENZV'!I17+'T1 ENVA'!I17,$D$49)</f>
        <v>1</v>
      </c>
      <c r="I49" s="37" t="b">
        <f>ROUND('T1'!J17,$D$49)=ROUND('T1 ENBR'!J17+'T1 ENGM'!J17+'T1 ENZV'!J17+'T1 ENVA'!J17,$D$49)</f>
        <v>1</v>
      </c>
      <c r="J49" s="37" t="b">
        <f>ROUND('T1'!K17,$D$49)=ROUND('T1 ENBR'!K17+'T1 ENGM'!K17+'T1 ENZV'!K17+'T1 ENVA'!K17,$D$49)</f>
        <v>1</v>
      </c>
      <c r="K49" s="37" t="b">
        <f>ROUND('T1'!L17,$D$49)=ROUND('T1 ENBR'!L17+'T1 ENGM'!L17+'T1 ENZV'!L17+'T1 ENVA'!L17,$D$49)</f>
        <v>1</v>
      </c>
      <c r="L49" s="37" t="b">
        <f>ROUND('T1'!M17,$D$49)=ROUND('T1 ENBR'!M17+'T1 ENGM'!M17+'T1 ENZV'!M17+'T1 ENVA'!M17,$D$49)</f>
        <v>1</v>
      </c>
      <c r="M49" s="37" t="b">
        <f>ROUND('T1'!N17,$D$49)=ROUND('T1 ENBR'!N17+'T1 ENGM'!N17+'T1 ENZV'!N17+'T1 ENVA'!N17,$D$49)</f>
        <v>1</v>
      </c>
      <c r="N49" s="37" t="b">
        <f>ROUND('T1'!O17,$D$49)=ROUND('T1 ENBR'!O17+'T1 ENGM'!O17+'T1 ENZV'!O17+'T1 ENVA'!O17,$D$49)</f>
        <v>1</v>
      </c>
      <c r="O49" s="37" t="b">
        <f>ROUND('T1'!P17,$D$49)=ROUND('T1 ENBR'!P17+'T1 ENGM'!P17+'T1 ENZV'!P17+'T1 ENVA'!P17,$D$49)</f>
        <v>1</v>
      </c>
      <c r="P49" s="16"/>
      <c r="Q49" s="37" t="b">
        <f>ROUND('T1'!R17,$D$49)=ROUND('T1 ENBR'!R17+'T1 ENGM'!R17+'T1 ENZV'!R17+'T1 ENVA'!R17,$D$49)</f>
        <v>1</v>
      </c>
      <c r="R49" s="1084"/>
      <c r="S49" s="1084"/>
      <c r="T49" s="1084"/>
      <c r="U49" s="1084"/>
      <c r="V49" s="1084"/>
      <c r="W49" s="1084"/>
      <c r="X49" s="1084"/>
      <c r="Y49" s="1084"/>
    </row>
    <row r="50" spans="1:25" s="1085" customFormat="1" outlineLevel="1">
      <c r="A50" s="39"/>
      <c r="B50" s="40"/>
      <c r="C50" s="41" t="s">
        <v>595</v>
      </c>
      <c r="D50" s="1086"/>
      <c r="E50" s="672">
        <f>ROUND('T1'!F17,$D$49)</f>
        <v>0</v>
      </c>
      <c r="F50" s="672">
        <f>ROUND('T1'!G17,$D$49)</f>
        <v>0</v>
      </c>
      <c r="G50" s="672">
        <f>ROUND('T1'!H17,$D$49)</f>
        <v>0</v>
      </c>
      <c r="H50" s="672">
        <f>ROUND('T1'!I17,$D$49)</f>
        <v>0</v>
      </c>
      <c r="I50" s="672">
        <f>ROUND('T1'!J17,$D$49)</f>
        <v>0</v>
      </c>
      <c r="J50" s="672">
        <f>ROUND('T1'!K17,$D$49)</f>
        <v>0</v>
      </c>
      <c r="K50" s="672">
        <f>ROUND('T1'!L17,$D$49)</f>
        <v>0</v>
      </c>
      <c r="L50" s="672">
        <f>ROUND('T1'!M17,$D$49)</f>
        <v>0</v>
      </c>
      <c r="M50" s="672">
        <f>ROUND('T1'!N17,$D$49)</f>
        <v>0</v>
      </c>
      <c r="N50" s="672">
        <f>ROUND('T1'!O17,$D$49)</f>
        <v>0</v>
      </c>
      <c r="O50" s="672">
        <f>ROUND('T1'!P17,$D$49)</f>
        <v>0</v>
      </c>
      <c r="P50" s="16"/>
      <c r="Q50" s="672">
        <f>ROUND('T1'!R17,$D$49)</f>
        <v>0</v>
      </c>
      <c r="R50" s="1084"/>
      <c r="S50" s="1084"/>
      <c r="T50" s="1084"/>
      <c r="U50" s="1084"/>
      <c r="V50" s="1084"/>
      <c r="W50" s="1084"/>
      <c r="X50" s="1084"/>
      <c r="Y50" s="1084"/>
    </row>
    <row r="51" spans="1:25" s="1085" customFormat="1" outlineLevel="1">
      <c r="A51" s="39"/>
      <c r="B51" s="40"/>
      <c r="C51" s="41" t="s">
        <v>596</v>
      </c>
      <c r="D51" s="1086"/>
      <c r="E51" s="672">
        <f>ROUND('T1 ENBR'!F17+'T1 ENGM'!F17+'T1 ENZV'!F17+'T1 ENVA'!F17,$D$49)</f>
        <v>0</v>
      </c>
      <c r="F51" s="672">
        <f>ROUND('T1 ENBR'!G17+'T1 ENGM'!G17+'T1 ENZV'!G17+'T1 ENVA'!G17,$D$49)</f>
        <v>0</v>
      </c>
      <c r="G51" s="672">
        <f>ROUND('T1 ENBR'!H17+'T1 ENGM'!H17+'T1 ENZV'!H17+'T1 ENVA'!H17,$D$49)</f>
        <v>0</v>
      </c>
      <c r="H51" s="672">
        <f>ROUND('T1 ENBR'!I17+'T1 ENGM'!I17+'T1 ENZV'!I17+'T1 ENVA'!I17,$D$49)</f>
        <v>0</v>
      </c>
      <c r="I51" s="672">
        <f>ROUND('T1 ENBR'!J17+'T1 ENGM'!J17+'T1 ENZV'!J17+'T1 ENVA'!J17,$D$49)</f>
        <v>0</v>
      </c>
      <c r="J51" s="672">
        <f>ROUND('T1 ENBR'!K17+'T1 ENGM'!K17+'T1 ENZV'!K17+'T1 ENVA'!K17,$D$49)</f>
        <v>0</v>
      </c>
      <c r="K51" s="672">
        <f>ROUND('T1 ENBR'!L17+'T1 ENGM'!L17+'T1 ENZV'!L17+'T1 ENVA'!L17,$D$49)</f>
        <v>0</v>
      </c>
      <c r="L51" s="672">
        <f>ROUND('T1 ENBR'!M17+'T1 ENGM'!M17+'T1 ENZV'!M17+'T1 ENVA'!M17,$D$49)</f>
        <v>0</v>
      </c>
      <c r="M51" s="672">
        <f>ROUND('T1 ENBR'!N17+'T1 ENGM'!N17+'T1 ENZV'!N17+'T1 ENVA'!N17,$D$49)</f>
        <v>0</v>
      </c>
      <c r="N51" s="672">
        <f>ROUND('T1 ENBR'!O17+'T1 ENGM'!O17+'T1 ENZV'!O17+'T1 ENVA'!O17,$D$49)</f>
        <v>0</v>
      </c>
      <c r="O51" s="672">
        <f>ROUND('T1 ENBR'!P17+'T1 ENGM'!P17+'T1 ENZV'!P17+'T1 ENVA'!P17,$D$49)</f>
        <v>0</v>
      </c>
      <c r="P51" s="16"/>
      <c r="Q51" s="672">
        <f>ROUND('T1 ENBR'!R17+'T1 ENGM'!R17+'T1 ENZV'!R17+'T1 ENVA'!R17,$D$49)</f>
        <v>0</v>
      </c>
      <c r="R51" s="1084"/>
      <c r="S51" s="1084"/>
      <c r="T51" s="1084"/>
      <c r="U51" s="1084"/>
      <c r="V51" s="1084"/>
      <c r="W51" s="1084"/>
      <c r="X51" s="1084"/>
      <c r="Y51" s="1084"/>
    </row>
    <row r="52" spans="1:25" s="1085" customFormat="1">
      <c r="A52" s="33" t="s">
        <v>597</v>
      </c>
      <c r="B52" s="34" t="s">
        <v>49</v>
      </c>
      <c r="C52" s="35" t="s">
        <v>598</v>
      </c>
      <c r="D52" s="1083">
        <v>3</v>
      </c>
      <c r="E52" s="37" t="b">
        <f>ROUND('T1'!F22,$D$52)=ROUND('T1 ENBR'!F22+'T1 ENGM'!F22+'T1 ENZV'!F22+'T1 ENVA'!F22,$D$52)</f>
        <v>1</v>
      </c>
      <c r="F52" s="37" t="b">
        <f>ROUND('T1'!G22,$D$52)=ROUND('T1 ENBR'!G22+'T1 ENGM'!G22+'T1 ENZV'!G22+'T1 ENVA'!G22,$D$52)</f>
        <v>1</v>
      </c>
      <c r="G52" s="37" t="b">
        <f>ROUND('T1'!H22,$D$52)=ROUND('T1 ENBR'!H22+'T1 ENGM'!H22+'T1 ENZV'!H22+'T1 ENVA'!H22,$D$52)</f>
        <v>1</v>
      </c>
      <c r="H52" s="37" t="b">
        <f>ROUND('T1'!I22,$D$52)=ROUND('T1 ENBR'!I22+'T1 ENGM'!I22+'T1 ENZV'!I22+'T1 ENVA'!I22,$D$52)</f>
        <v>1</v>
      </c>
      <c r="I52" s="37" t="b">
        <f>ROUND('T1'!J22,$D$52)=ROUND('T1 ENBR'!J22+'T1 ENGM'!J22+'T1 ENZV'!J22+'T1 ENVA'!J22,$D$52)</f>
        <v>1</v>
      </c>
      <c r="J52" s="37" t="b">
        <f>ROUND('T1'!K22,$D$52)=ROUND('T1 ENBR'!K22+'T1 ENGM'!K22+'T1 ENZV'!K22+'T1 ENVA'!K22,$D$52)</f>
        <v>1</v>
      </c>
      <c r="K52" s="37" t="b">
        <f>ROUND('T1'!L22,$D$52)=ROUND('T1 ENBR'!L22+'T1 ENGM'!L22+'T1 ENZV'!L22+'T1 ENVA'!L22,$D$52)</f>
        <v>1</v>
      </c>
      <c r="L52" s="37" t="b">
        <f>ROUND('T1'!M22,$D$52)=ROUND('T1 ENBR'!M22+'T1 ENGM'!M22+'T1 ENZV'!M22+'T1 ENVA'!M22,$D$52)</f>
        <v>1</v>
      </c>
      <c r="M52" s="37" t="b">
        <f>ROUND('T1'!N22,$D$52)=ROUND('T1 ENBR'!N22+'T1 ENGM'!N22+'T1 ENZV'!N22+'T1 ENVA'!N22,$D$52)</f>
        <v>1</v>
      </c>
      <c r="N52" s="37" t="b">
        <f>ROUND('T1'!O22,$D$52)=ROUND('T1 ENBR'!O22+'T1 ENGM'!O22+'T1 ENZV'!O22+'T1 ENVA'!O22,$D$52)</f>
        <v>1</v>
      </c>
      <c r="O52" s="37" t="b">
        <f>ROUND('T1'!P22,$D$52)=ROUND('T1 ENBR'!P22+'T1 ENGM'!P22+'T1 ENZV'!P22+'T1 ENVA'!P22,$D$52)</f>
        <v>1</v>
      </c>
      <c r="P52" s="16"/>
      <c r="Q52" s="37" t="b">
        <f>ROUND('T1'!R22,$D$52)=ROUND('T1 ENBR'!R22+'T1 ENGM'!R22+'T1 ENZV'!R22+'T1 ENVA'!R22,$D$52)</f>
        <v>1</v>
      </c>
      <c r="R52" s="1084"/>
      <c r="S52" s="1084"/>
      <c r="T52" s="1084"/>
      <c r="U52" s="1084"/>
      <c r="V52" s="1084"/>
      <c r="W52" s="1084"/>
      <c r="X52" s="1084"/>
      <c r="Y52" s="1084"/>
    </row>
    <row r="53" spans="1:25" s="1085" customFormat="1" outlineLevel="1">
      <c r="A53" s="39"/>
      <c r="B53" s="40"/>
      <c r="C53" s="41" t="s">
        <v>599</v>
      </c>
      <c r="D53" s="1086"/>
      <c r="E53" s="672">
        <f>ROUND('T1'!F22,$D$52)</f>
        <v>234835.234</v>
      </c>
      <c r="F53" s="672">
        <f>ROUND('T1'!G22,$D$52)</f>
        <v>239570.288</v>
      </c>
      <c r="G53" s="672">
        <f>ROUND('T1'!H22,$D$52)</f>
        <v>238774.701</v>
      </c>
      <c r="H53" s="672">
        <f>ROUND('T1'!I22,$D$52)</f>
        <v>248144.283</v>
      </c>
      <c r="I53" s="672">
        <f>ROUND('T1'!J22,$D$52)</f>
        <v>242580.603</v>
      </c>
      <c r="J53" s="672">
        <f>ROUND('T1'!K22,$D$52)</f>
        <v>210929.42199999999</v>
      </c>
      <c r="K53" s="672">
        <f>ROUND('T1'!L22,$D$52)</f>
        <v>211662.22099999999</v>
      </c>
      <c r="L53" s="672">
        <f>ROUND('T1'!M22,$D$52)</f>
        <v>422591.64299999998</v>
      </c>
      <c r="M53" s="672">
        <f>ROUND('T1'!N22,$D$52)</f>
        <v>210557.29199999999</v>
      </c>
      <c r="N53" s="672">
        <f>ROUND('T1'!O22,$D$52)</f>
        <v>221852.17499999999</v>
      </c>
      <c r="O53" s="672">
        <f>ROUND('T1'!P22,$D$52)</f>
        <v>230061.31099999999</v>
      </c>
      <c r="P53" s="16"/>
      <c r="Q53" s="672">
        <f>ROUND('T1'!R22,$D$52)</f>
        <v>210929.42199999999</v>
      </c>
      <c r="R53" s="1084"/>
      <c r="S53" s="1084"/>
      <c r="T53" s="1084"/>
      <c r="U53" s="1084"/>
      <c r="V53" s="1084"/>
      <c r="W53" s="1084"/>
      <c r="X53" s="1084"/>
      <c r="Y53" s="1084"/>
    </row>
    <row r="54" spans="1:25" s="1085" customFormat="1" outlineLevel="1">
      <c r="A54" s="39"/>
      <c r="B54" s="40"/>
      <c r="C54" s="41" t="s">
        <v>600</v>
      </c>
      <c r="D54" s="1086"/>
      <c r="E54" s="672">
        <f>ROUND('T1 ENBR'!F22+'T1 ENGM'!F22+'T1 ENZV'!F22+'T1 ENVA'!F22,$D$52)</f>
        <v>234835.234</v>
      </c>
      <c r="F54" s="672">
        <f>ROUND('T1 ENBR'!G22+'T1 ENGM'!G22+'T1 ENZV'!G22+'T1 ENVA'!G22,$D$52)</f>
        <v>239570.288</v>
      </c>
      <c r="G54" s="672">
        <f>ROUND('T1 ENBR'!H22+'T1 ENGM'!H22+'T1 ENZV'!H22+'T1 ENVA'!H22,$D$52)</f>
        <v>238774.701</v>
      </c>
      <c r="H54" s="672">
        <f>ROUND('T1 ENBR'!I22+'T1 ENGM'!I22+'T1 ENZV'!I22+'T1 ENVA'!I22,$D$52)</f>
        <v>248144.283</v>
      </c>
      <c r="I54" s="672">
        <f>ROUND('T1 ENBR'!J22+'T1 ENGM'!J22+'T1 ENZV'!J22+'T1 ENVA'!J22,$D$52)</f>
        <v>242580.603</v>
      </c>
      <c r="J54" s="672">
        <f>ROUND('T1 ENBR'!K22+'T1 ENGM'!K22+'T1 ENZV'!K22+'T1 ENVA'!K22,$D$52)</f>
        <v>210929.42199999999</v>
      </c>
      <c r="K54" s="672">
        <f>ROUND('T1 ENBR'!L22+'T1 ENGM'!L22+'T1 ENZV'!L22+'T1 ENVA'!L22,$D$52)</f>
        <v>211662.22099999999</v>
      </c>
      <c r="L54" s="672">
        <f>ROUND('T1 ENBR'!M22+'T1 ENGM'!M22+'T1 ENZV'!M22+'T1 ENVA'!M22,$D$52)</f>
        <v>422591.64299999998</v>
      </c>
      <c r="M54" s="672">
        <f>ROUND('T1 ENBR'!N22+'T1 ENGM'!N22+'T1 ENZV'!N22+'T1 ENVA'!N22,$D$52)</f>
        <v>210557.29199999999</v>
      </c>
      <c r="N54" s="672">
        <f>ROUND('T1 ENBR'!O22+'T1 ENGM'!O22+'T1 ENZV'!O22+'T1 ENVA'!O22,$D$52)</f>
        <v>221852.17499999999</v>
      </c>
      <c r="O54" s="672">
        <f>ROUND('T1 ENBR'!P22+'T1 ENGM'!P22+'T1 ENZV'!P22+'T1 ENVA'!P22,$D$52)</f>
        <v>230061.31099999999</v>
      </c>
      <c r="P54" s="16"/>
      <c r="Q54" s="672">
        <f>ROUND('T1 ENBR'!R22+'T1 ENGM'!R22+'T1 ENZV'!R22+'T1 ENVA'!R22,$D$52)</f>
        <v>210929.42199999999</v>
      </c>
      <c r="R54" s="1084"/>
      <c r="S54" s="1084"/>
      <c r="T54" s="1084"/>
      <c r="U54" s="1084"/>
      <c r="V54" s="1084"/>
      <c r="W54" s="1084"/>
      <c r="X54" s="1084"/>
      <c r="Y54" s="1084"/>
    </row>
    <row r="55" spans="1:25" s="1085" customFormat="1">
      <c r="A55" s="33" t="s">
        <v>601</v>
      </c>
      <c r="B55" s="34" t="s">
        <v>371</v>
      </c>
      <c r="C55" s="35" t="s">
        <v>602</v>
      </c>
      <c r="D55" s="1083">
        <v>3</v>
      </c>
      <c r="E55" s="37" t="b">
        <f>ROUND('T1'!F23,$D$55)=ROUND('T1 ENBR'!F23+'T1 ENGM'!F23+'T1 ENZV'!F23+'T1 ENVA'!F23,$D$55)</f>
        <v>1</v>
      </c>
      <c r="F55" s="37" t="b">
        <f>ROUND('T1'!G23,$D$55)=ROUND('T1 ENBR'!G23+'T1 ENGM'!G23+'T1 ENZV'!G23+'T1 ENVA'!G23,$D$55)</f>
        <v>1</v>
      </c>
      <c r="G55" s="37" t="b">
        <f>ROUND('T1'!H23,$D$55)=ROUND('T1 ENBR'!H23+'T1 ENGM'!H23+'T1 ENZV'!H23+'T1 ENVA'!H23,$D$55)</f>
        <v>1</v>
      </c>
      <c r="H55" s="37" t="b">
        <f>ROUND('T1'!I23,$D$55)=ROUND('T1 ENBR'!I23+'T1 ENGM'!I23+'T1 ENZV'!I23+'T1 ENVA'!I23,$D$55)</f>
        <v>1</v>
      </c>
      <c r="I55" s="37" t="b">
        <f>ROUND('T1'!J23,$D$55)=ROUND('T1 ENBR'!J23+'T1 ENGM'!J23+'T1 ENZV'!J23+'T1 ENVA'!J23,$D$55)</f>
        <v>1</v>
      </c>
      <c r="J55" s="37" t="b">
        <f>ROUND('T1'!K23,$D$55)=ROUND('T1 ENBR'!K23+'T1 ENGM'!K23+'T1 ENZV'!K23+'T1 ENVA'!K23,$D$55)</f>
        <v>1</v>
      </c>
      <c r="K55" s="37" t="b">
        <f>ROUND('T1'!L23,$D$55)=ROUND('T1 ENBR'!L23+'T1 ENGM'!L23+'T1 ENZV'!L23+'T1 ENVA'!L23,$D$55)</f>
        <v>1</v>
      </c>
      <c r="L55" s="37" t="b">
        <f>ROUND('T1'!M23,$D$55)=ROUND('T1 ENBR'!M23+'T1 ENGM'!M23+'T1 ENZV'!M23+'T1 ENVA'!M23,$D$55)</f>
        <v>1</v>
      </c>
      <c r="M55" s="37" t="b">
        <f>ROUND('T1'!N23,$D$55)=ROUND('T1 ENBR'!N23+'T1 ENGM'!N23+'T1 ENZV'!N23+'T1 ENVA'!N23,$D$55)</f>
        <v>1</v>
      </c>
      <c r="N55" s="37" t="b">
        <f>ROUND('T1'!O23,$D$55)=ROUND('T1 ENBR'!O23+'T1 ENGM'!O23+'T1 ENZV'!O23+'T1 ENVA'!O23,$D$55)</f>
        <v>1</v>
      </c>
      <c r="O55" s="37" t="b">
        <f>ROUND('T1'!P23,$D$55)=ROUND('T1 ENBR'!P23+'T1 ENGM'!P23+'T1 ENZV'!P23+'T1 ENVA'!P23,$D$55)</f>
        <v>1</v>
      </c>
      <c r="P55" s="16"/>
      <c r="Q55" s="37" t="b">
        <f>ROUND('T1'!R23,$D$55)=ROUND('T1 ENBR'!R23+'T1 ENGM'!R23+'T1 ENZV'!R23+'T1 ENVA'!R23,$D$55)</f>
        <v>1</v>
      </c>
      <c r="R55" s="1084"/>
      <c r="S55" s="1084"/>
      <c r="T55" s="1084"/>
      <c r="U55" s="1084"/>
      <c r="V55" s="1084"/>
      <c r="W55" s="1084"/>
      <c r="X55" s="1084"/>
      <c r="Y55" s="1084"/>
    </row>
    <row r="56" spans="1:25" s="1085" customFormat="1" outlineLevel="1">
      <c r="A56" s="39"/>
      <c r="B56" s="40"/>
      <c r="C56" s="41" t="s">
        <v>603</v>
      </c>
      <c r="D56" s="1086"/>
      <c r="E56" s="672">
        <f>ROUND('T1'!F23,$D$55)</f>
        <v>10801.694</v>
      </c>
      <c r="F56" s="672">
        <f>ROUND('T1'!G23,$D$55)</f>
        <v>11019.486999999999</v>
      </c>
      <c r="G56" s="672">
        <f>ROUND('T1'!H23,$D$55)</f>
        <v>10982.892</v>
      </c>
      <c r="H56" s="672">
        <f>ROUND('T1'!I23,$D$55)</f>
        <v>11413.864</v>
      </c>
      <c r="I56" s="672">
        <f>ROUND('T1'!J23,$D$55)</f>
        <v>11157.951999999999</v>
      </c>
      <c r="J56" s="672">
        <f>ROUND('T1'!K23,$D$55)</f>
        <v>9702.0959999999995</v>
      </c>
      <c r="K56" s="672">
        <f>ROUND('T1'!L23,$D$55)</f>
        <v>9735.8029999999999</v>
      </c>
      <c r="L56" s="672">
        <f>ROUND('T1'!M23,$D$55)</f>
        <v>19437.899000000001</v>
      </c>
      <c r="M56" s="672">
        <f>ROUND('T1'!N23,$D$55)</f>
        <v>9684.9789999999994</v>
      </c>
      <c r="N56" s="672">
        <f>ROUND('T1'!O23,$D$55)</f>
        <v>10204.509</v>
      </c>
      <c r="O56" s="672">
        <f>ROUND('T1'!P23,$D$55)</f>
        <v>10582.103999999999</v>
      </c>
      <c r="P56" s="16"/>
      <c r="Q56" s="672">
        <f>ROUND('T1'!R23,$D$55)</f>
        <v>9702.0959999999995</v>
      </c>
      <c r="R56" s="1084"/>
      <c r="S56" s="1084"/>
      <c r="T56" s="1084"/>
      <c r="U56" s="1084"/>
      <c r="V56" s="1084"/>
      <c r="W56" s="1084"/>
      <c r="X56" s="1084"/>
      <c r="Y56" s="1084"/>
    </row>
    <row r="57" spans="1:25" s="1085" customFormat="1" outlineLevel="1">
      <c r="A57" s="39"/>
      <c r="B57" s="40"/>
      <c r="C57" s="41" t="s">
        <v>604</v>
      </c>
      <c r="D57" s="1086"/>
      <c r="E57" s="672">
        <f>ROUND('T1 ENBR'!F23+'T1 ENGM'!F23+'T1 ENZV'!F23+'T1 ENVA'!F23,$D$55)</f>
        <v>10801.694</v>
      </c>
      <c r="F57" s="672">
        <f>ROUND('T1 ENBR'!G23+'T1 ENGM'!G23+'T1 ENZV'!G23+'T1 ENVA'!G23,$D$55)</f>
        <v>11019.486999999999</v>
      </c>
      <c r="G57" s="672">
        <f>ROUND('T1 ENBR'!H23+'T1 ENGM'!H23+'T1 ENZV'!H23+'T1 ENVA'!H23,$D$55)</f>
        <v>10982.892</v>
      </c>
      <c r="H57" s="672">
        <f>ROUND('T1 ENBR'!I23+'T1 ENGM'!I23+'T1 ENZV'!I23+'T1 ENVA'!I23,$D$55)</f>
        <v>11413.864</v>
      </c>
      <c r="I57" s="672">
        <f>ROUND('T1 ENBR'!J23+'T1 ENGM'!J23+'T1 ENZV'!J23+'T1 ENVA'!J23,$D$55)</f>
        <v>11157.951999999999</v>
      </c>
      <c r="J57" s="672">
        <f>ROUND('T1 ENBR'!K23+'T1 ENGM'!K23+'T1 ENZV'!K23+'T1 ENVA'!K23,$D$55)</f>
        <v>9702.0959999999995</v>
      </c>
      <c r="K57" s="672">
        <f>ROUND('T1 ENBR'!L23+'T1 ENGM'!L23+'T1 ENZV'!L23+'T1 ENVA'!L23,$D$55)</f>
        <v>9735.8029999999999</v>
      </c>
      <c r="L57" s="672">
        <f>ROUND('T1 ENBR'!M23+'T1 ENGM'!M23+'T1 ENZV'!M23+'T1 ENVA'!M23,$D$55)</f>
        <v>19437.899000000001</v>
      </c>
      <c r="M57" s="672">
        <f>ROUND('T1 ENBR'!N23+'T1 ENGM'!N23+'T1 ENZV'!N23+'T1 ENVA'!N23,$D$55)</f>
        <v>9684.9789999999994</v>
      </c>
      <c r="N57" s="672">
        <f>ROUND('T1 ENBR'!O23+'T1 ENGM'!O23+'T1 ENZV'!O23+'T1 ENVA'!O23,$D$55)</f>
        <v>10204.509</v>
      </c>
      <c r="O57" s="672">
        <f>ROUND('T1 ENBR'!P23+'T1 ENGM'!P23+'T1 ENZV'!P23+'T1 ENVA'!P23,$D$55)</f>
        <v>10582.103999999999</v>
      </c>
      <c r="P57" s="16"/>
      <c r="Q57" s="672">
        <f>ROUND('T1 ENBR'!R23+'T1 ENGM'!R23+'T1 ENZV'!R23+'T1 ENVA'!R23,$D$55)</f>
        <v>9702.0959999999995</v>
      </c>
      <c r="R57" s="1084"/>
      <c r="S57" s="1084"/>
      <c r="T57" s="1084"/>
      <c r="U57" s="1084"/>
      <c r="V57" s="1084"/>
      <c r="W57" s="1084"/>
      <c r="X57" s="1084"/>
      <c r="Y57" s="1084"/>
    </row>
    <row r="58" spans="1:25" s="1085" customFormat="1">
      <c r="A58" s="33" t="s">
        <v>605</v>
      </c>
      <c r="B58" s="34" t="s">
        <v>606</v>
      </c>
      <c r="C58" s="35" t="s">
        <v>607</v>
      </c>
      <c r="D58" s="1083">
        <v>3</v>
      </c>
      <c r="E58" s="37" t="b">
        <f>ROUND('T1'!F24,$D$58)=ROUND('T1 ENBR'!F24+'T1 ENGM'!F24+'T1 ENZV'!F24+'T1 ENVA'!F24,$D$58)</f>
        <v>1</v>
      </c>
      <c r="F58" s="37" t="b">
        <f>ROUND('T1'!G24,$D$58)=ROUND('T1 ENBR'!G24+'T1 ENGM'!G24+'T1 ENZV'!G24+'T1 ENVA'!G24,$D$58)</f>
        <v>1</v>
      </c>
      <c r="G58" s="37" t="b">
        <f>ROUND('T1'!H24,$D$58)=ROUND('T1 ENBR'!H24+'T1 ENGM'!H24+'T1 ENZV'!H24+'T1 ENVA'!H24,$D$58)</f>
        <v>1</v>
      </c>
      <c r="H58" s="37" t="b">
        <f>ROUND('T1'!I24,$D$58)=ROUND('T1 ENBR'!I24+'T1 ENGM'!I24+'T1 ENZV'!I24+'T1 ENVA'!I24,$D$58)</f>
        <v>1</v>
      </c>
      <c r="I58" s="37" t="b">
        <f>ROUND('T1'!J24,$D$58)=ROUND('T1 ENBR'!J24+'T1 ENGM'!J24+'T1 ENZV'!J24+'T1 ENVA'!J24,$D$58)</f>
        <v>1</v>
      </c>
      <c r="J58" s="37" t="b">
        <f>ROUND('T1'!K24,$D$58)=ROUND('T1 ENBR'!K24+'T1 ENGM'!K24+'T1 ENZV'!K24+'T1 ENVA'!K24,$D$58)</f>
        <v>1</v>
      </c>
      <c r="K58" s="37" t="b">
        <f>ROUND('T1'!L24,$D$58)=ROUND('T1 ENBR'!L24+'T1 ENGM'!L24+'T1 ENZV'!L24+'T1 ENVA'!L24,$D$58)</f>
        <v>1</v>
      </c>
      <c r="L58" s="37" t="b">
        <f>ROUND('T1'!M24,$D$58)=ROUND('T1 ENBR'!M24+'T1 ENGM'!M24+'T1 ENZV'!M24+'T1 ENVA'!M24,$D$58)</f>
        <v>1</v>
      </c>
      <c r="M58" s="37" t="b">
        <f>ROUND('T1'!N24,$D$58)=ROUND('T1 ENBR'!N24+'T1 ENGM'!N24+'T1 ENZV'!N24+'T1 ENVA'!N24,$D$58)</f>
        <v>1</v>
      </c>
      <c r="N58" s="37" t="b">
        <f>ROUND('T1'!O24,$D$58)=ROUND('T1 ENBR'!O24+'T1 ENGM'!O24+'T1 ENZV'!O24+'T1 ENVA'!O24,$D$58)</f>
        <v>1</v>
      </c>
      <c r="O58" s="37" t="b">
        <f>ROUND('T1'!P24,$D$58)=ROUND('T1 ENBR'!P24+'T1 ENGM'!P24+'T1 ENZV'!P24+'T1 ENVA'!P24,$D$58)</f>
        <v>1</v>
      </c>
      <c r="P58" s="16"/>
      <c r="Q58" s="37" t="b">
        <f>ROUND('T1'!R24,$D$58)=ROUND('T1 ENBR'!R24+'T1 ENGM'!R24+'T1 ENZV'!R24+'T1 ENVA'!R24,$D$58)</f>
        <v>1</v>
      </c>
      <c r="R58" s="1084"/>
      <c r="S58" s="1084"/>
      <c r="T58" s="1084"/>
      <c r="U58" s="1084"/>
      <c r="V58" s="1084"/>
      <c r="W58" s="1084"/>
      <c r="X58" s="1084"/>
      <c r="Y58" s="1084"/>
    </row>
    <row r="59" spans="1:25" s="1085" customFormat="1" outlineLevel="1">
      <c r="A59" s="39"/>
      <c r="B59" s="40"/>
      <c r="C59" s="41" t="s">
        <v>608</v>
      </c>
      <c r="D59" s="1086"/>
      <c r="E59" s="672">
        <f>ROUND('T1'!F24,$D$58)</f>
        <v>121320.273</v>
      </c>
      <c r="F59" s="672">
        <f>ROUND('T1'!G24,$D$58)</f>
        <v>123766.43399999999</v>
      </c>
      <c r="G59" s="672">
        <f>ROUND('T1'!H24,$D$58)</f>
        <v>123355.41899999999</v>
      </c>
      <c r="H59" s="672">
        <f>ROUND('T1'!I24,$D$58)</f>
        <v>128195.91800000001</v>
      </c>
      <c r="I59" s="672">
        <f>ROUND('T1'!J24,$D$58)</f>
        <v>125321.618</v>
      </c>
      <c r="J59" s="672">
        <f>ROUND('T1'!K24,$D$58)</f>
        <v>108970.034</v>
      </c>
      <c r="K59" s="672">
        <f>ROUND('T1'!L24,$D$58)</f>
        <v>109348.611</v>
      </c>
      <c r="L59" s="672">
        <f>ROUND('T1'!M24,$D$58)</f>
        <v>218318.64499999999</v>
      </c>
      <c r="M59" s="672">
        <f>ROUND('T1'!N24,$D$58)</f>
        <v>108777.785</v>
      </c>
      <c r="N59" s="672">
        <f>ROUND('T1'!O24,$D$58)</f>
        <v>114612.93</v>
      </c>
      <c r="O59" s="672">
        <f>ROUND('T1'!P24,$D$58)</f>
        <v>118853.921</v>
      </c>
      <c r="P59" s="16"/>
      <c r="Q59" s="672">
        <f>ROUND('T1'!R24,$D$58)</f>
        <v>108970.034</v>
      </c>
      <c r="R59" s="1084"/>
      <c r="S59" s="1084"/>
      <c r="T59" s="1084"/>
      <c r="U59" s="1084"/>
      <c r="V59" s="1084"/>
      <c r="W59" s="1084"/>
      <c r="X59" s="1084"/>
      <c r="Y59" s="1084"/>
    </row>
    <row r="60" spans="1:25" s="1085" customFormat="1" outlineLevel="1">
      <c r="A60" s="39"/>
      <c r="B60" s="40"/>
      <c r="C60" s="41" t="s">
        <v>609</v>
      </c>
      <c r="D60" s="1086"/>
      <c r="E60" s="672">
        <f>ROUND('T1 ENBR'!F24+'T1 ENGM'!F24+'T1 ENZV'!F24+'T1 ENVA'!F24,$D$58)</f>
        <v>121320.273</v>
      </c>
      <c r="F60" s="672">
        <f>ROUND('T1 ENBR'!G24+'T1 ENGM'!G24+'T1 ENZV'!G24+'T1 ENVA'!G24,$D$58)</f>
        <v>123766.43399999999</v>
      </c>
      <c r="G60" s="672">
        <f>ROUND('T1 ENBR'!H24+'T1 ENGM'!H24+'T1 ENZV'!H24+'T1 ENVA'!H24,$D$58)</f>
        <v>123355.41899999999</v>
      </c>
      <c r="H60" s="672">
        <f>ROUND('T1 ENBR'!I24+'T1 ENGM'!I24+'T1 ENZV'!I24+'T1 ENVA'!I24,$D$58)</f>
        <v>128195.91800000001</v>
      </c>
      <c r="I60" s="672">
        <f>ROUND('T1 ENBR'!J24+'T1 ENGM'!J24+'T1 ENZV'!J24+'T1 ENVA'!J24,$D$58)</f>
        <v>125321.618</v>
      </c>
      <c r="J60" s="672">
        <f>ROUND('T1 ENBR'!K24+'T1 ENGM'!K24+'T1 ENZV'!K24+'T1 ENVA'!K24,$D$58)</f>
        <v>108970.034</v>
      </c>
      <c r="K60" s="672">
        <f>ROUND('T1 ENBR'!L24+'T1 ENGM'!L24+'T1 ENZV'!L24+'T1 ENVA'!L24,$D$58)</f>
        <v>109348.611</v>
      </c>
      <c r="L60" s="672">
        <f>ROUND('T1 ENBR'!M24+'T1 ENGM'!M24+'T1 ENZV'!M24+'T1 ENVA'!M24,$D$58)</f>
        <v>218318.64499999999</v>
      </c>
      <c r="M60" s="672">
        <f>ROUND('T1 ENBR'!N24+'T1 ENGM'!N24+'T1 ENZV'!N24+'T1 ENVA'!N24,$D$58)</f>
        <v>108777.785</v>
      </c>
      <c r="N60" s="672">
        <f>ROUND('T1 ENBR'!O24+'T1 ENGM'!O24+'T1 ENZV'!O24+'T1 ENVA'!O24,$D$58)</f>
        <v>114612.93</v>
      </c>
      <c r="O60" s="672">
        <f>ROUND('T1 ENBR'!P24+'T1 ENGM'!P24+'T1 ENZV'!P24+'T1 ENVA'!P24,$D$58)</f>
        <v>118853.921</v>
      </c>
      <c r="P60" s="16"/>
      <c r="Q60" s="672">
        <f>ROUND('T1 ENBR'!R24+'T1 ENGM'!R24+'T1 ENZV'!R24+'T1 ENVA'!R24,$D$58)</f>
        <v>108970.034</v>
      </c>
      <c r="R60" s="1084"/>
      <c r="S60" s="1084"/>
      <c r="T60" s="1084"/>
      <c r="U60" s="1084"/>
      <c r="V60" s="1084"/>
      <c r="W60" s="1084"/>
      <c r="X60" s="1084"/>
      <c r="Y60" s="1084"/>
    </row>
    <row r="61" spans="1:25" s="1085" customFormat="1">
      <c r="A61" s="33" t="s">
        <v>610</v>
      </c>
      <c r="B61" s="34" t="s">
        <v>611</v>
      </c>
      <c r="C61" s="35" t="s">
        <v>612</v>
      </c>
      <c r="D61" s="1083">
        <v>3</v>
      </c>
      <c r="E61" s="37" t="b">
        <f>ROUND('T1'!F25,$D$61)=ROUND('T1 ENBR'!F25+'T1 ENGM'!F25+'T1 ENZV'!F25+'T1 ENVA'!F25,$D$61)</f>
        <v>1</v>
      </c>
      <c r="F61" s="37" t="b">
        <f>ROUND('T1'!G25,$D$61)=ROUND('T1 ENBR'!G25+'T1 ENGM'!G25+'T1 ENZV'!G25+'T1 ENVA'!G25,$D$61)</f>
        <v>1</v>
      </c>
      <c r="G61" s="37" t="b">
        <f>ROUND('T1'!H25,$D$61)=ROUND('T1 ENBR'!H25+'T1 ENGM'!H25+'T1 ENZV'!H25+'T1 ENVA'!H25,$D$61)</f>
        <v>1</v>
      </c>
      <c r="H61" s="37" t="b">
        <f>ROUND('T1'!I25,$D$61)=ROUND('T1 ENBR'!I25+'T1 ENGM'!I25+'T1 ENZV'!I25+'T1 ENVA'!I25,$D$61)</f>
        <v>1</v>
      </c>
      <c r="I61" s="37" t="b">
        <f>ROUND('T1'!J25,$D$61)=ROUND('T1 ENBR'!J25+'T1 ENGM'!J25+'T1 ENZV'!J25+'T1 ENVA'!J25,$D$61)</f>
        <v>1</v>
      </c>
      <c r="J61" s="37" t="b">
        <f>ROUND('T1'!K25,$D$61)=ROUND('T1 ENBR'!K25+'T1 ENGM'!K25+'T1 ENZV'!K25+'T1 ENVA'!K25,$D$61)</f>
        <v>1</v>
      </c>
      <c r="K61" s="37" t="b">
        <f>ROUND('T1'!L25,$D$61)=ROUND('T1 ENBR'!L25+'T1 ENGM'!L25+'T1 ENZV'!L25+'T1 ENVA'!L25,$D$61)</f>
        <v>1</v>
      </c>
      <c r="L61" s="37" t="b">
        <f>ROUND('T1'!M25,$D$61)=ROUND('T1 ENBR'!M25+'T1 ENGM'!M25+'T1 ENZV'!M25+'T1 ENVA'!M25,$D$61)</f>
        <v>1</v>
      </c>
      <c r="M61" s="37" t="b">
        <f>ROUND('T1'!N25,$D$61)=ROUND('T1 ENBR'!N25+'T1 ENGM'!N25+'T1 ENZV'!N25+'T1 ENVA'!N25,$D$61)</f>
        <v>1</v>
      </c>
      <c r="N61" s="37" t="b">
        <f>ROUND('T1'!O25,$D$61)=ROUND('T1 ENBR'!O25+'T1 ENGM'!O25+'T1 ENZV'!O25+'T1 ENVA'!O25,$D$61)</f>
        <v>1</v>
      </c>
      <c r="O61" s="37" t="b">
        <f>ROUND('T1'!P25,$D$61)=ROUND('T1 ENBR'!P25+'T1 ENGM'!P25+'T1 ENZV'!P25+'T1 ENVA'!P25,$D$61)</f>
        <v>1</v>
      </c>
      <c r="P61" s="16"/>
      <c r="Q61" s="37" t="b">
        <f>ROUND('T1'!R25,$D$61)=ROUND('T1 ENBR'!R25+'T1 ENGM'!R25+'T1 ENZV'!R25+'T1 ENVA'!R25,$D$61)</f>
        <v>1</v>
      </c>
      <c r="R61" s="1084"/>
      <c r="S61" s="1084"/>
      <c r="T61" s="1084"/>
      <c r="U61" s="1084"/>
      <c r="V61" s="1084"/>
      <c r="W61" s="1084"/>
      <c r="X61" s="1084"/>
      <c r="Y61" s="1084"/>
    </row>
    <row r="62" spans="1:25" s="1085" customFormat="1" outlineLevel="1">
      <c r="A62" s="39"/>
      <c r="B62" s="40"/>
      <c r="C62" s="41" t="s">
        <v>613</v>
      </c>
      <c r="D62" s="1086"/>
      <c r="E62" s="672">
        <f>ROUND('T1'!F25,$D$61)</f>
        <v>61837.258000000002</v>
      </c>
      <c r="F62" s="672">
        <f>ROUND('T1'!G25,$D$61)</f>
        <v>63084.072999999997</v>
      </c>
      <c r="G62" s="672">
        <f>ROUND('T1'!H25,$D$61)</f>
        <v>62874.578000000001</v>
      </c>
      <c r="H62" s="672">
        <f>ROUND('T1'!I25,$D$61)</f>
        <v>65341.792999999998</v>
      </c>
      <c r="I62" s="672">
        <f>ROUND('T1'!J25,$D$61)</f>
        <v>63876.754999999997</v>
      </c>
      <c r="J62" s="672">
        <f>ROUND('T1'!K25,$D$61)</f>
        <v>55542.31</v>
      </c>
      <c r="K62" s="672">
        <f>ROUND('T1'!L25,$D$61)</f>
        <v>55735.271000000001</v>
      </c>
      <c r="L62" s="672">
        <f>ROUND('T1'!M25,$D$61)</f>
        <v>111277.58100000001</v>
      </c>
      <c r="M62" s="672">
        <f>ROUND('T1'!N25,$D$61)</f>
        <v>55444.32</v>
      </c>
      <c r="N62" s="672">
        <f>ROUND('T1'!O25,$D$61)</f>
        <v>58418.508000000002</v>
      </c>
      <c r="O62" s="672">
        <f>ROUND('T1'!P25,$D$61)</f>
        <v>60580.152999999998</v>
      </c>
      <c r="P62" s="16"/>
      <c r="Q62" s="672">
        <f>ROUND('T1'!R25,$D$61)</f>
        <v>55542.31</v>
      </c>
      <c r="R62" s="1084"/>
      <c r="S62" s="1084"/>
      <c r="T62" s="1084"/>
      <c r="U62" s="1084"/>
      <c r="V62" s="1084"/>
      <c r="W62" s="1084"/>
      <c r="X62" s="1084"/>
      <c r="Y62" s="1084"/>
    </row>
    <row r="63" spans="1:25" s="1085" customFormat="1" outlineLevel="1">
      <c r="A63" s="39"/>
      <c r="B63" s="40"/>
      <c r="C63" s="41" t="s">
        <v>614</v>
      </c>
      <c r="D63" s="1086"/>
      <c r="E63" s="672">
        <f>ROUND('T1 ENBR'!F25+'T1 ENGM'!F25+'T1 ENZV'!F25+'T1 ENVA'!F25,$D$61)</f>
        <v>61837.258000000002</v>
      </c>
      <c r="F63" s="672">
        <f>ROUND('T1 ENBR'!G25+'T1 ENGM'!G25+'T1 ENZV'!G25+'T1 ENVA'!G25,$D$61)</f>
        <v>63084.072999999997</v>
      </c>
      <c r="G63" s="672">
        <f>ROUND('T1 ENBR'!H25+'T1 ENGM'!H25+'T1 ENZV'!H25+'T1 ENVA'!H25,$D$61)</f>
        <v>62874.578000000001</v>
      </c>
      <c r="H63" s="672">
        <f>ROUND('T1 ENBR'!I25+'T1 ENGM'!I25+'T1 ENZV'!I25+'T1 ENVA'!I25,$D$61)</f>
        <v>65341.792999999998</v>
      </c>
      <c r="I63" s="672">
        <f>ROUND('T1 ENBR'!J25+'T1 ENGM'!J25+'T1 ENZV'!J25+'T1 ENVA'!J25,$D$61)</f>
        <v>63876.754999999997</v>
      </c>
      <c r="J63" s="672">
        <f>ROUND('T1 ENBR'!K25+'T1 ENGM'!K25+'T1 ENZV'!K25+'T1 ENVA'!K25,$D$61)</f>
        <v>55542.31</v>
      </c>
      <c r="K63" s="672">
        <f>ROUND('T1 ENBR'!L25+'T1 ENGM'!L25+'T1 ENZV'!L25+'T1 ENVA'!L25,$D$61)</f>
        <v>55735.271000000001</v>
      </c>
      <c r="L63" s="672">
        <f>ROUND('T1 ENBR'!M25+'T1 ENGM'!M25+'T1 ENZV'!M25+'T1 ENVA'!M25,$D$61)</f>
        <v>111277.58100000001</v>
      </c>
      <c r="M63" s="672">
        <f>ROUND('T1 ENBR'!N25+'T1 ENGM'!N25+'T1 ENZV'!N25+'T1 ENVA'!N25,$D$61)</f>
        <v>55444.32</v>
      </c>
      <c r="N63" s="672">
        <f>ROUND('T1 ENBR'!O25+'T1 ENGM'!O25+'T1 ENZV'!O25+'T1 ENVA'!O25,$D$61)</f>
        <v>58418.508000000002</v>
      </c>
      <c r="O63" s="672">
        <f>ROUND('T1 ENBR'!P25+'T1 ENGM'!P25+'T1 ENZV'!P25+'T1 ENVA'!P25,$D$61)</f>
        <v>60580.152999999998</v>
      </c>
      <c r="P63" s="16"/>
      <c r="Q63" s="672">
        <f>ROUND('T1 ENBR'!R25+'T1 ENGM'!R25+'T1 ENZV'!R25+'T1 ENVA'!R25,$D$61)</f>
        <v>55542.31</v>
      </c>
      <c r="R63" s="1084"/>
      <c r="S63" s="1084"/>
      <c r="T63" s="1084"/>
      <c r="U63" s="1084"/>
      <c r="V63" s="1084"/>
      <c r="W63" s="1084"/>
      <c r="X63" s="1084"/>
      <c r="Y63" s="1084"/>
    </row>
    <row r="64" spans="1:25" s="1085" customFormat="1">
      <c r="A64" s="33" t="s">
        <v>615</v>
      </c>
      <c r="B64" s="34" t="s">
        <v>616</v>
      </c>
      <c r="C64" s="35" t="s">
        <v>617</v>
      </c>
      <c r="D64" s="1083">
        <v>3</v>
      </c>
      <c r="E64" s="37" t="b">
        <f>ROUND('T1'!F26,$D$64)=ROUND('T1 ENBR'!F26+'T1 ENGM'!F26+'T1 ENZV'!F26+'T1 ENVA'!F26,$D$64)</f>
        <v>1</v>
      </c>
      <c r="F64" s="37" t="b">
        <f>ROUND('T1'!G26,$D$64)=ROUND('T1 ENBR'!G26+'T1 ENGM'!G26+'T1 ENZV'!G26+'T1 ENVA'!G26,$D$64)</f>
        <v>1</v>
      </c>
      <c r="G64" s="37" t="b">
        <f>ROUND('T1'!H26,$D$64)=ROUND('T1 ENBR'!H26+'T1 ENGM'!H26+'T1 ENZV'!H26+'T1 ENVA'!H26,$D$64)</f>
        <v>1</v>
      </c>
      <c r="H64" s="37" t="b">
        <f>ROUND('T1'!I26,$D$64)=ROUND('T1 ENBR'!I26+'T1 ENGM'!I26+'T1 ENZV'!I26+'T1 ENVA'!I26,$D$64)</f>
        <v>1</v>
      </c>
      <c r="I64" s="37" t="b">
        <f>ROUND('T1'!J26,$D$64)=ROUND('T1 ENBR'!J26+'T1 ENGM'!J26+'T1 ENZV'!J26+'T1 ENVA'!J26,$D$64)</f>
        <v>1</v>
      </c>
      <c r="J64" s="37" t="b">
        <f>ROUND('T1'!K26,$D$64)=ROUND('T1 ENBR'!K26+'T1 ENGM'!K26+'T1 ENZV'!K26+'T1 ENVA'!K26,$D$64)</f>
        <v>1</v>
      </c>
      <c r="K64" s="37" t="b">
        <f>ROUND('T1'!L26,$D$64)=ROUND('T1 ENBR'!L26+'T1 ENGM'!L26+'T1 ENZV'!L26+'T1 ENVA'!L26,$D$64)</f>
        <v>1</v>
      </c>
      <c r="L64" s="37" t="b">
        <f>ROUND('T1'!M26,$D$64)=ROUND('T1 ENBR'!M26+'T1 ENGM'!M26+'T1 ENZV'!M26+'T1 ENVA'!M26,$D$64)</f>
        <v>1</v>
      </c>
      <c r="M64" s="37" t="b">
        <f>ROUND('T1'!N26,$D$64)=ROUND('T1 ENBR'!N26+'T1 ENGM'!N26+'T1 ENZV'!N26+'T1 ENVA'!N26,$D$64)</f>
        <v>1</v>
      </c>
      <c r="N64" s="37" t="b">
        <f>ROUND('T1'!O26,$D$64)=ROUND('T1 ENBR'!O26+'T1 ENGM'!O26+'T1 ENZV'!O26+'T1 ENVA'!O26,$D$64)</f>
        <v>1</v>
      </c>
      <c r="O64" s="37" t="b">
        <f>ROUND('T1'!P26,$D$64)=ROUND('T1 ENBR'!P26+'T1 ENGM'!P26+'T1 ENZV'!P26+'T1 ENVA'!P26,$D$64)</f>
        <v>1</v>
      </c>
      <c r="P64" s="16"/>
      <c r="Q64" s="37" t="b">
        <f>ROUND('T1'!R26,$D$64)=ROUND('T1 ENBR'!R26+'T1 ENGM'!R26+'T1 ENZV'!R26+'T1 ENVA'!R26,$D$64)</f>
        <v>1</v>
      </c>
      <c r="R64" s="1084"/>
      <c r="S64" s="1084"/>
      <c r="T64" s="1084"/>
      <c r="U64" s="1084"/>
      <c r="V64" s="1084"/>
      <c r="W64" s="1084"/>
      <c r="X64" s="1084"/>
      <c r="Y64" s="1084"/>
    </row>
    <row r="65" spans="1:25" s="1085" customFormat="1" outlineLevel="1">
      <c r="A65" s="39"/>
      <c r="B65" s="40"/>
      <c r="C65" s="41" t="s">
        <v>618</v>
      </c>
      <c r="D65" s="1086"/>
      <c r="E65" s="672">
        <f>ROUND('T1'!F26,$D$64)</f>
        <v>71.087999999999994</v>
      </c>
      <c r="F65" s="672">
        <f>ROUND('T1'!G26,$D$64)</f>
        <v>72.521000000000001</v>
      </c>
      <c r="G65" s="672">
        <f>ROUND('T1'!H26,$D$64)</f>
        <v>72.281000000000006</v>
      </c>
      <c r="H65" s="672">
        <f>ROUND('T1'!I26,$D$64)</f>
        <v>75.117000000000004</v>
      </c>
      <c r="I65" s="672">
        <f>ROUND('T1'!J26,$D$64)</f>
        <v>73.433000000000007</v>
      </c>
      <c r="J65" s="672">
        <f>ROUND('T1'!K26,$D$64)</f>
        <v>63.850999999999999</v>
      </c>
      <c r="K65" s="672">
        <f>ROUND('T1'!L26,$D$64)</f>
        <v>64.072999999999993</v>
      </c>
      <c r="L65" s="672">
        <f>ROUND('T1'!M26,$D$64)</f>
        <v>127.925</v>
      </c>
      <c r="M65" s="672">
        <f>ROUND('T1'!N26,$D$64)</f>
        <v>63.738999999999997</v>
      </c>
      <c r="N65" s="672">
        <f>ROUND('T1'!O26,$D$64)</f>
        <v>67.158000000000001</v>
      </c>
      <c r="O65" s="672">
        <f>ROUND('T1'!P26,$D$64)</f>
        <v>69.643000000000001</v>
      </c>
      <c r="P65" s="16"/>
      <c r="Q65" s="672">
        <f>ROUND('T1'!R26,$D$64)</f>
        <v>63.850999999999999</v>
      </c>
      <c r="R65" s="1084"/>
      <c r="S65" s="1084"/>
      <c r="T65" s="1084"/>
      <c r="U65" s="1084"/>
      <c r="V65" s="1084"/>
      <c r="W65" s="1084"/>
      <c r="X65" s="1084"/>
      <c r="Y65" s="1084"/>
    </row>
    <row r="66" spans="1:25" s="1085" customFormat="1" outlineLevel="1">
      <c r="A66" s="39"/>
      <c r="B66" s="40"/>
      <c r="C66" s="41" t="s">
        <v>619</v>
      </c>
      <c r="D66" s="1086"/>
      <c r="E66" s="672">
        <f>ROUND('T1 ENBR'!F26+'T1 ENGM'!F26+'T1 ENZV'!F26+'T1 ENVA'!F26,$D$64)</f>
        <v>71.087999999999994</v>
      </c>
      <c r="F66" s="672">
        <f>ROUND('T1 ENBR'!G26+'T1 ENGM'!G26+'T1 ENZV'!G26+'T1 ENVA'!G26,$D$64)</f>
        <v>72.521000000000001</v>
      </c>
      <c r="G66" s="672">
        <f>ROUND('T1 ENBR'!H26+'T1 ENGM'!H26+'T1 ENZV'!H26+'T1 ENVA'!H26,$D$64)</f>
        <v>72.281000000000006</v>
      </c>
      <c r="H66" s="672">
        <f>ROUND('T1 ENBR'!I26+'T1 ENGM'!I26+'T1 ENZV'!I26+'T1 ENVA'!I26,$D$64)</f>
        <v>75.117000000000004</v>
      </c>
      <c r="I66" s="672">
        <f>ROUND('T1 ENBR'!J26+'T1 ENGM'!J26+'T1 ENZV'!J26+'T1 ENVA'!J26,$D$64)</f>
        <v>73.433000000000007</v>
      </c>
      <c r="J66" s="672">
        <f>ROUND('T1 ENBR'!K26+'T1 ENGM'!K26+'T1 ENZV'!K26+'T1 ENVA'!K26,$D$64)</f>
        <v>63.850999999999999</v>
      </c>
      <c r="K66" s="672">
        <f>ROUND('T1 ENBR'!L26+'T1 ENGM'!L26+'T1 ENZV'!L26+'T1 ENVA'!L26,$D$64)</f>
        <v>64.072999999999993</v>
      </c>
      <c r="L66" s="672">
        <f>ROUND('T1 ENBR'!M26+'T1 ENGM'!M26+'T1 ENZV'!M26+'T1 ENVA'!M26,$D$64)</f>
        <v>127.925</v>
      </c>
      <c r="M66" s="672">
        <f>ROUND('T1 ENBR'!N26+'T1 ENGM'!N26+'T1 ENZV'!N26+'T1 ENVA'!N26,$D$64)</f>
        <v>63.738999999999997</v>
      </c>
      <c r="N66" s="672">
        <f>ROUND('T1 ENBR'!O26+'T1 ENGM'!O26+'T1 ENZV'!O26+'T1 ENVA'!O26,$D$64)</f>
        <v>67.158000000000001</v>
      </c>
      <c r="O66" s="672">
        <f>ROUND('T1 ENBR'!P26+'T1 ENGM'!P26+'T1 ENZV'!P26+'T1 ENVA'!P26,$D$64)</f>
        <v>69.643000000000001</v>
      </c>
      <c r="P66" s="16"/>
      <c r="Q66" s="672">
        <f>ROUND('T1 ENBR'!R26+'T1 ENGM'!R26+'T1 ENZV'!R26+'T1 ENVA'!R26,$D$64)</f>
        <v>63.850999999999999</v>
      </c>
      <c r="R66" s="1084"/>
      <c r="S66" s="1084"/>
      <c r="T66" s="1084"/>
      <c r="U66" s="1084"/>
      <c r="V66" s="1084"/>
      <c r="W66" s="1084"/>
      <c r="X66" s="1084"/>
      <c r="Y66" s="1084"/>
    </row>
    <row r="67" spans="1:25" s="1085" customFormat="1">
      <c r="A67" s="33" t="s">
        <v>620</v>
      </c>
      <c r="B67" s="34" t="s">
        <v>621</v>
      </c>
      <c r="C67" s="35" t="s">
        <v>622</v>
      </c>
      <c r="D67" s="1083">
        <v>3</v>
      </c>
      <c r="E67" s="37" t="b">
        <f>ROUND('T1'!F27,$D$67)=ROUND('T1 ENBR'!F27+'T1 ENGM'!F27+'T1 ENZV'!F27+'T1 ENVA'!F27,$D$67)</f>
        <v>1</v>
      </c>
      <c r="F67" s="37" t="b">
        <f>ROUND('T1'!G27,$D$67)=ROUND('T1 ENBR'!G27+'T1 ENGM'!G27+'T1 ENZV'!G27+'T1 ENVA'!G27,$D$67)</f>
        <v>1</v>
      </c>
      <c r="G67" s="37" t="b">
        <f>ROUND('T1'!H27,$D$67)=ROUND('T1 ENBR'!H27+'T1 ENGM'!H27+'T1 ENZV'!H27+'T1 ENVA'!H27,$D$67)</f>
        <v>1</v>
      </c>
      <c r="H67" s="37" t="b">
        <f>ROUND('T1'!I27,$D$67)=ROUND('T1 ENBR'!I27+'T1 ENGM'!I27+'T1 ENZV'!I27+'T1 ENVA'!I27,$D$67)</f>
        <v>1</v>
      </c>
      <c r="I67" s="37" t="b">
        <f>ROUND('T1'!J27,$D$67)=ROUND('T1 ENBR'!J27+'T1 ENGM'!J27+'T1 ENZV'!J27+'T1 ENVA'!J27,$D$67)</f>
        <v>1</v>
      </c>
      <c r="J67" s="37" t="b">
        <f>ROUND('T1'!K27,$D$67)=ROUND('T1 ENBR'!K27+'T1 ENGM'!K27+'T1 ENZV'!K27+'T1 ENVA'!K27,$D$67)</f>
        <v>1</v>
      </c>
      <c r="K67" s="37" t="b">
        <f>ROUND('T1'!L27,$D$67)=ROUND('T1 ENBR'!L27+'T1 ENGM'!L27+'T1 ENZV'!L27+'T1 ENVA'!L27,$D$67)</f>
        <v>1</v>
      </c>
      <c r="L67" s="37" t="b">
        <f>ROUND('T1'!M27,$D$67)=ROUND('T1 ENBR'!M27+'T1 ENGM'!M27+'T1 ENZV'!M27+'T1 ENVA'!M27,$D$67)</f>
        <v>1</v>
      </c>
      <c r="M67" s="37" t="b">
        <f>ROUND('T1'!N27,$D$67)=ROUND('T1 ENBR'!N27+'T1 ENGM'!N27+'T1 ENZV'!N27+'T1 ENVA'!N27,$D$67)</f>
        <v>1</v>
      </c>
      <c r="N67" s="37" t="b">
        <f>ROUND('T1'!O27,$D$67)=ROUND('T1 ENBR'!O27+'T1 ENGM'!O27+'T1 ENZV'!O27+'T1 ENVA'!O27,$D$67)</f>
        <v>1</v>
      </c>
      <c r="O67" s="37" t="b">
        <f>ROUND('T1'!P27,$D$67)=ROUND('T1 ENBR'!P27+'T1 ENGM'!P27+'T1 ENZV'!P27+'T1 ENVA'!P27,$D$67)</f>
        <v>1</v>
      </c>
      <c r="P67" s="16"/>
      <c r="Q67" s="37" t="b">
        <f>ROUND('T1'!R27,$D$67)=ROUND('T1 ENBR'!R27+'T1 ENGM'!R27+'T1 ENZV'!R27+'T1 ENVA'!R27,$D$67)</f>
        <v>1</v>
      </c>
      <c r="R67" s="1084"/>
      <c r="S67" s="1084"/>
      <c r="T67" s="1084"/>
      <c r="U67" s="1084"/>
      <c r="V67" s="1084"/>
      <c r="W67" s="1084"/>
      <c r="X67" s="1084"/>
      <c r="Y67" s="1084"/>
    </row>
    <row r="68" spans="1:25" s="1085" customFormat="1" outlineLevel="1">
      <c r="A68" s="39"/>
      <c r="B68" s="40"/>
      <c r="C68" s="41" t="s">
        <v>623</v>
      </c>
      <c r="D68" s="1086"/>
      <c r="E68" s="672">
        <f>ROUND('T1'!F27,$D$67)</f>
        <v>18505.839</v>
      </c>
      <c r="F68" s="672">
        <f>ROUND('T1'!G27,$D$67)</f>
        <v>18878.969000000001</v>
      </c>
      <c r="G68" s="672">
        <f>ROUND('T1'!H27,$D$67)</f>
        <v>18816.274000000001</v>
      </c>
      <c r="H68" s="672">
        <f>ROUND('T1'!I27,$D$67)</f>
        <v>19554.63</v>
      </c>
      <c r="I68" s="672">
        <f>ROUND('T1'!J27,$D$67)</f>
        <v>19116.191999999999</v>
      </c>
      <c r="J68" s="672">
        <f>ROUND('T1'!K27,$D$67)</f>
        <v>16621.97</v>
      </c>
      <c r="K68" s="672">
        <f>ROUND('T1'!L27,$D$67)</f>
        <v>16679.717000000001</v>
      </c>
      <c r="L68" s="672">
        <f>ROUND('T1'!M27,$D$67)</f>
        <v>33301.686000000002</v>
      </c>
      <c r="M68" s="672">
        <f>ROUND('T1'!N27,$D$67)</f>
        <v>16592.645</v>
      </c>
      <c r="N68" s="672">
        <f>ROUND('T1'!O27,$D$67)</f>
        <v>17482.721000000001</v>
      </c>
      <c r="O68" s="672">
        <f>ROUND('T1'!P27,$D$67)</f>
        <v>18129.629000000001</v>
      </c>
      <c r="P68" s="16"/>
      <c r="Q68" s="672">
        <f>ROUND('T1'!R27,$D$67)</f>
        <v>16621.97</v>
      </c>
      <c r="R68" s="1084"/>
      <c r="S68" s="1084"/>
      <c r="T68" s="1084"/>
      <c r="U68" s="1084"/>
      <c r="V68" s="1084"/>
      <c r="W68" s="1084"/>
      <c r="X68" s="1084"/>
      <c r="Y68" s="1084"/>
    </row>
    <row r="69" spans="1:25" s="1085" customFormat="1" outlineLevel="1">
      <c r="A69" s="39"/>
      <c r="B69" s="40"/>
      <c r="C69" s="41" t="s">
        <v>624</v>
      </c>
      <c r="D69" s="1086"/>
      <c r="E69" s="672">
        <f>ROUND('T1 ENBR'!F27+'T1 ENGM'!F27+'T1 ENZV'!F27+'T1 ENVA'!F27,$D$67)</f>
        <v>18505.839</v>
      </c>
      <c r="F69" s="672">
        <f>ROUND('T1 ENBR'!G27+'T1 ENGM'!G27+'T1 ENZV'!G27+'T1 ENVA'!G27,$D$67)</f>
        <v>18878.969000000001</v>
      </c>
      <c r="G69" s="672">
        <f>ROUND('T1 ENBR'!H27+'T1 ENGM'!H27+'T1 ENZV'!H27+'T1 ENVA'!H27,$D$67)</f>
        <v>18816.274000000001</v>
      </c>
      <c r="H69" s="672">
        <f>ROUND('T1 ENBR'!I27+'T1 ENGM'!I27+'T1 ENZV'!I27+'T1 ENVA'!I27,$D$67)</f>
        <v>19554.63</v>
      </c>
      <c r="I69" s="672">
        <f>ROUND('T1 ENBR'!J27+'T1 ENGM'!J27+'T1 ENZV'!J27+'T1 ENVA'!J27,$D$67)</f>
        <v>19116.191999999999</v>
      </c>
      <c r="J69" s="672">
        <f>ROUND('T1 ENBR'!K27+'T1 ENGM'!K27+'T1 ENZV'!K27+'T1 ENVA'!K27,$D$67)</f>
        <v>16621.97</v>
      </c>
      <c r="K69" s="672">
        <f>ROUND('T1 ENBR'!L27+'T1 ENGM'!L27+'T1 ENZV'!L27+'T1 ENVA'!L27,$D$67)</f>
        <v>16679.717000000001</v>
      </c>
      <c r="L69" s="672">
        <f>ROUND('T1 ENBR'!M27+'T1 ENGM'!M27+'T1 ENZV'!M27+'T1 ENVA'!M27,$D$67)</f>
        <v>33301.686000000002</v>
      </c>
      <c r="M69" s="672">
        <f>ROUND('T1 ENBR'!N27+'T1 ENGM'!N27+'T1 ENZV'!N27+'T1 ENVA'!N27,$D$67)</f>
        <v>16592.645</v>
      </c>
      <c r="N69" s="672">
        <f>ROUND('T1 ENBR'!O27+'T1 ENGM'!O27+'T1 ENZV'!O27+'T1 ENVA'!O27,$D$67)</f>
        <v>17482.721000000001</v>
      </c>
      <c r="O69" s="672">
        <f>ROUND('T1 ENBR'!P27+'T1 ENGM'!P27+'T1 ENZV'!P27+'T1 ENVA'!P27,$D$67)</f>
        <v>18129.629000000001</v>
      </c>
      <c r="P69" s="16"/>
      <c r="Q69" s="672">
        <f>ROUND('T1 ENBR'!R27+'T1 ENGM'!R27+'T1 ENZV'!R27+'T1 ENVA'!R27,$D$67)</f>
        <v>16621.97</v>
      </c>
      <c r="R69" s="1084"/>
      <c r="S69" s="1084"/>
      <c r="T69" s="1084"/>
      <c r="U69" s="1084"/>
      <c r="V69" s="1084"/>
      <c r="W69" s="1084"/>
      <c r="X69" s="1084"/>
      <c r="Y69" s="1084"/>
    </row>
    <row r="70" spans="1:25" s="1085" customFormat="1">
      <c r="A70" s="33" t="s">
        <v>625</v>
      </c>
      <c r="B70" s="34" t="s">
        <v>626</v>
      </c>
      <c r="C70" s="35" t="s">
        <v>627</v>
      </c>
      <c r="D70" s="1083">
        <v>3</v>
      </c>
      <c r="E70" s="37" t="b">
        <f>ROUND('T1'!F28,$D$70)=ROUND('T1 ENBR'!F28+'T1 ENGM'!F28+'T1 ENZV'!F28+'T1 ENVA'!F28,$D$70)</f>
        <v>1</v>
      </c>
      <c r="F70" s="37" t="b">
        <f>ROUND('T1'!G28,$D$70)=ROUND('T1 ENBR'!G28+'T1 ENGM'!G28+'T1 ENZV'!G28+'T1 ENVA'!G28,$D$70)</f>
        <v>1</v>
      </c>
      <c r="G70" s="37" t="b">
        <f>ROUND('T1'!H28,$D$70)=ROUND('T1 ENBR'!H28+'T1 ENGM'!H28+'T1 ENZV'!H28+'T1 ENVA'!H28,$D$70)</f>
        <v>1</v>
      </c>
      <c r="H70" s="37" t="b">
        <f>ROUND('T1'!I28,$D$70)=ROUND('T1 ENBR'!I28+'T1 ENGM'!I28+'T1 ENZV'!I28+'T1 ENVA'!I28,$D$70)</f>
        <v>1</v>
      </c>
      <c r="I70" s="37" t="b">
        <f>ROUND('T1'!J28,$D$70)=ROUND('T1 ENBR'!J28+'T1 ENGM'!J28+'T1 ENZV'!J28+'T1 ENVA'!J28,$D$70)</f>
        <v>1</v>
      </c>
      <c r="J70" s="37" t="b">
        <f>ROUND('T1'!K28,$D$70)=ROUND('T1 ENBR'!K28+'T1 ENGM'!K28+'T1 ENZV'!K28+'T1 ENVA'!K28,$D$70)</f>
        <v>1</v>
      </c>
      <c r="K70" s="37" t="b">
        <f>ROUND('T1'!L28,$D$70)=ROUND('T1 ENBR'!L28+'T1 ENGM'!L28+'T1 ENZV'!L28+'T1 ENVA'!L28,$D$70)</f>
        <v>1</v>
      </c>
      <c r="L70" s="37" t="b">
        <f>ROUND('T1'!M28,$D$70)=ROUND('T1 ENBR'!M28+'T1 ENGM'!M28+'T1 ENZV'!M28+'T1 ENVA'!M28,$D$70)</f>
        <v>1</v>
      </c>
      <c r="M70" s="37" t="b">
        <f>ROUND('T1'!N28,$D$70)=ROUND('T1 ENBR'!N28+'T1 ENGM'!N28+'T1 ENZV'!N28+'T1 ENVA'!N28,$D$70)</f>
        <v>1</v>
      </c>
      <c r="N70" s="37" t="b">
        <f>ROUND('T1'!O28,$D$70)=ROUND('T1 ENBR'!O28+'T1 ENGM'!O28+'T1 ENZV'!O28+'T1 ENVA'!O28,$D$70)</f>
        <v>1</v>
      </c>
      <c r="O70" s="37" t="b">
        <f>ROUND('T1'!P28,$D$70)=ROUND('T1 ENBR'!P28+'T1 ENGM'!P28+'T1 ENZV'!P28+'T1 ENVA'!P28,$D$70)</f>
        <v>1</v>
      </c>
      <c r="P70" s="16"/>
      <c r="Q70" s="37" t="b">
        <f>ROUND('T1'!R28,$D$70)=ROUND('T1 ENBR'!R28+'T1 ENGM'!R28+'T1 ENZV'!R28+'T1 ENVA'!R28,$D$70)</f>
        <v>1</v>
      </c>
      <c r="R70" s="1084"/>
      <c r="S70" s="1084"/>
      <c r="T70" s="1084"/>
      <c r="U70" s="1084"/>
      <c r="V70" s="1084"/>
      <c r="W70" s="1084"/>
      <c r="X70" s="1084"/>
      <c r="Y70" s="1084"/>
    </row>
    <row r="71" spans="1:25" s="1085" customFormat="1" outlineLevel="1">
      <c r="A71" s="39"/>
      <c r="B71" s="40"/>
      <c r="C71" s="41" t="s">
        <v>628</v>
      </c>
      <c r="D71" s="1086"/>
      <c r="E71" s="672">
        <f>ROUND('T1'!F28,$D$70)</f>
        <v>6988.4769999999999</v>
      </c>
      <c r="F71" s="672">
        <f>ROUND('T1'!G28,$D$70)</f>
        <v>5045</v>
      </c>
      <c r="G71" s="672">
        <f>ROUND('T1'!H28,$D$70)</f>
        <v>5423.8119999999999</v>
      </c>
      <c r="H71" s="672">
        <f>ROUND('T1'!I28,$D$70)</f>
        <v>5748.7719999999999</v>
      </c>
      <c r="I71" s="672">
        <f>ROUND('T1'!J28,$D$70)</f>
        <v>5690.92</v>
      </c>
      <c r="J71" s="672">
        <f>ROUND('T1'!K28,$D$70)</f>
        <v>7949.491</v>
      </c>
      <c r="K71" s="672">
        <f>ROUND('T1'!L28,$D$70)</f>
        <v>8124.38</v>
      </c>
      <c r="L71" s="672">
        <f>ROUND('T1'!M28,$D$70)</f>
        <v>16073.870999999999</v>
      </c>
      <c r="M71" s="672">
        <f>ROUND('T1'!N28,$D$70)</f>
        <v>8286.8670000000002</v>
      </c>
      <c r="N71" s="672">
        <f>ROUND('T1'!O28,$D$70)</f>
        <v>8452.6049999999996</v>
      </c>
      <c r="O71" s="672">
        <f>ROUND('T1'!P28,$D$70)</f>
        <v>8621.6569999999992</v>
      </c>
      <c r="P71" s="16"/>
      <c r="Q71" s="672">
        <f>ROUND('T1'!R28,$D$70)</f>
        <v>7949.491</v>
      </c>
      <c r="R71" s="1084"/>
      <c r="S71" s="1084"/>
      <c r="T71" s="1084"/>
      <c r="U71" s="1084"/>
      <c r="V71" s="1084"/>
      <c r="W71" s="1084"/>
      <c r="X71" s="1084"/>
      <c r="Y71" s="1084"/>
    </row>
    <row r="72" spans="1:25" s="1085" customFormat="1" outlineLevel="1">
      <c r="A72" s="39"/>
      <c r="B72" s="40"/>
      <c r="C72" s="41" t="s">
        <v>629</v>
      </c>
      <c r="D72" s="1086"/>
      <c r="E72" s="672">
        <f>ROUND('T1 ENBR'!F28+'T1 ENGM'!F28+'T1 ENZV'!F28+'T1 ENVA'!F28,$D$70)</f>
        <v>6988.4769999999999</v>
      </c>
      <c r="F72" s="672">
        <f>ROUND('T1 ENBR'!G28+'T1 ENGM'!G28+'T1 ENZV'!G28+'T1 ENVA'!G28,$D$70)</f>
        <v>5045</v>
      </c>
      <c r="G72" s="672">
        <f>ROUND('T1 ENBR'!H28+'T1 ENGM'!H28+'T1 ENZV'!H28+'T1 ENVA'!H28,$D$70)</f>
        <v>5423.8119999999999</v>
      </c>
      <c r="H72" s="672">
        <f>ROUND('T1 ENBR'!I28+'T1 ENGM'!I28+'T1 ENZV'!I28+'T1 ENVA'!I28,$D$70)</f>
        <v>5748.7719999999999</v>
      </c>
      <c r="I72" s="672">
        <f>ROUND('T1 ENBR'!J28+'T1 ENGM'!J28+'T1 ENZV'!J28+'T1 ENVA'!J28,$D$70)</f>
        <v>5690.92</v>
      </c>
      <c r="J72" s="672">
        <f>ROUND('T1 ENBR'!K28+'T1 ENGM'!K28+'T1 ENZV'!K28+'T1 ENVA'!K28,$D$70)</f>
        <v>7949.491</v>
      </c>
      <c r="K72" s="672">
        <f>ROUND('T1 ENBR'!L28+'T1 ENGM'!L28+'T1 ENZV'!L28+'T1 ENVA'!L28,$D$70)</f>
        <v>8124.38</v>
      </c>
      <c r="L72" s="672">
        <f>ROUND('T1 ENBR'!M28+'T1 ENGM'!M28+'T1 ENZV'!M28+'T1 ENVA'!M28,$D$70)</f>
        <v>16073.870999999999</v>
      </c>
      <c r="M72" s="672">
        <f>ROUND('T1 ENBR'!N28+'T1 ENGM'!N28+'T1 ENZV'!N28+'T1 ENVA'!N28,$D$70)</f>
        <v>8286.8670000000002</v>
      </c>
      <c r="N72" s="672">
        <f>ROUND('T1 ENBR'!O28+'T1 ENGM'!O28+'T1 ENZV'!O28+'T1 ENVA'!O28,$D$70)</f>
        <v>8452.6049999999996</v>
      </c>
      <c r="O72" s="672">
        <f>ROUND('T1 ENBR'!P28+'T1 ENGM'!P28+'T1 ENZV'!P28+'T1 ENVA'!P28,$D$70)</f>
        <v>8621.6569999999992</v>
      </c>
      <c r="P72" s="16"/>
      <c r="Q72" s="672">
        <f>ROUND('T1 ENBR'!R28+'T1 ENGM'!R28+'T1 ENZV'!R28+'T1 ENVA'!R28,$D$70)</f>
        <v>7949.491</v>
      </c>
      <c r="R72" s="1084"/>
      <c r="S72" s="1084"/>
      <c r="T72" s="1084"/>
      <c r="U72" s="1084"/>
      <c r="V72" s="1084"/>
      <c r="W72" s="1084"/>
      <c r="X72" s="1084"/>
      <c r="Y72" s="1084"/>
    </row>
    <row r="73" spans="1:25" s="1085" customFormat="1">
      <c r="A73" s="33" t="s">
        <v>630</v>
      </c>
      <c r="B73" s="34" t="s">
        <v>631</v>
      </c>
      <c r="C73" s="35" t="s">
        <v>632</v>
      </c>
      <c r="D73" s="1083">
        <v>3</v>
      </c>
      <c r="E73" s="37" t="b">
        <f>ROUND('T1'!F29,$D$73)=ROUND('T1 ENBR'!F29+'T1 ENGM'!F29+'T1 ENZV'!F29+'T1 ENVA'!F29,$D$73)</f>
        <v>1</v>
      </c>
      <c r="F73" s="37" t="b">
        <f>ROUND('T1'!G29,$D$73)=ROUND('T1 ENBR'!G29+'T1 ENGM'!G29+'T1 ENZV'!G29+'T1 ENVA'!G29,$D$73)</f>
        <v>1</v>
      </c>
      <c r="G73" s="37" t="b">
        <f>ROUND('T1'!H29,$D$73)=ROUND('T1 ENBR'!H29+'T1 ENGM'!H29+'T1 ENZV'!H29+'T1 ENVA'!H29,$D$73)</f>
        <v>1</v>
      </c>
      <c r="H73" s="37" t="b">
        <f>ROUND('T1'!I29,$D$73)=ROUND('T1 ENBR'!I29+'T1 ENGM'!I29+'T1 ENZV'!I29+'T1 ENVA'!I29,$D$73)</f>
        <v>1</v>
      </c>
      <c r="I73" s="37" t="b">
        <f>ROUND('T1'!J29,$D$73)=ROUND('T1 ENBR'!J29+'T1 ENGM'!J29+'T1 ENZV'!J29+'T1 ENVA'!J29,$D$73)</f>
        <v>1</v>
      </c>
      <c r="J73" s="37" t="b">
        <f>ROUND('T1'!K29,$D$73)=ROUND('T1 ENBR'!K29+'T1 ENGM'!K29+'T1 ENZV'!K29+'T1 ENVA'!K29,$D$73)</f>
        <v>1</v>
      </c>
      <c r="K73" s="37" t="b">
        <f>ROUND('T1'!L29,$D$73)=ROUND('T1 ENBR'!L29+'T1 ENGM'!L29+'T1 ENZV'!L29+'T1 ENVA'!L29,$D$73)</f>
        <v>1</v>
      </c>
      <c r="L73" s="37" t="b">
        <f>ROUND('T1'!M29,$D$73)=ROUND('T1 ENBR'!M29+'T1 ENGM'!M29+'T1 ENZV'!M29+'T1 ENVA'!M29,$D$73)</f>
        <v>1</v>
      </c>
      <c r="M73" s="37" t="b">
        <f>ROUND('T1'!N29,$D$73)=ROUND('T1 ENBR'!N29+'T1 ENGM'!N29+'T1 ENZV'!N29+'T1 ENVA'!N29,$D$73)</f>
        <v>1</v>
      </c>
      <c r="N73" s="37" t="b">
        <f>ROUND('T1'!O29,$D$73)=ROUND('T1 ENBR'!O29+'T1 ENGM'!O29+'T1 ENZV'!O29+'T1 ENVA'!O29,$D$73)</f>
        <v>1</v>
      </c>
      <c r="O73" s="37" t="b">
        <f>ROUND('T1'!P29,$D$73)=ROUND('T1 ENBR'!P29+'T1 ENGM'!P29+'T1 ENZV'!P29+'T1 ENVA'!P29,$D$73)</f>
        <v>1</v>
      </c>
      <c r="P73" s="16"/>
      <c r="Q73" s="37" t="b">
        <f>ROUND('T1'!R29,$D$73)=ROUND('T1 ENBR'!R29+'T1 ENGM'!R29+'T1 ENZV'!R29+'T1 ENVA'!R29,$D$73)</f>
        <v>1</v>
      </c>
      <c r="R73" s="1084"/>
      <c r="S73" s="1084"/>
      <c r="T73" s="1084"/>
      <c r="U73" s="1084"/>
      <c r="V73" s="1084"/>
      <c r="W73" s="1084"/>
      <c r="X73" s="1084"/>
      <c r="Y73" s="1084"/>
    </row>
    <row r="74" spans="1:25" s="1085" customFormat="1" outlineLevel="1">
      <c r="A74" s="39"/>
      <c r="B74" s="40"/>
      <c r="C74" s="41" t="s">
        <v>633</v>
      </c>
      <c r="D74" s="1086"/>
      <c r="E74" s="672">
        <f>ROUND('T1'!F29,$D$73)</f>
        <v>1379.63</v>
      </c>
      <c r="F74" s="672">
        <f>ROUND('T1'!G29,$D$73)</f>
        <v>1025</v>
      </c>
      <c r="G74" s="672">
        <f>ROUND('T1'!H29,$D$73)</f>
        <v>1066.3399999999999</v>
      </c>
      <c r="H74" s="672">
        <f>ROUND('T1'!I29,$D$73)</f>
        <v>1087.6669999999999</v>
      </c>
      <c r="I74" s="672">
        <f>ROUND('T1'!J29,$D$73)</f>
        <v>1159</v>
      </c>
      <c r="J74" s="672">
        <f>ROUND('T1'!K29,$D$73)</f>
        <v>826.43100000000004</v>
      </c>
      <c r="K74" s="672">
        <f>ROUND('T1'!L29,$D$73)</f>
        <v>844.61199999999997</v>
      </c>
      <c r="L74" s="672">
        <f>ROUND('T1'!M29,$D$73)</f>
        <v>1671.0429999999999</v>
      </c>
      <c r="M74" s="672">
        <f>ROUND('T1'!N29,$D$73)</f>
        <v>861.505</v>
      </c>
      <c r="N74" s="672">
        <f>ROUND('T1'!O29,$D$73)</f>
        <v>878.73500000000001</v>
      </c>
      <c r="O74" s="672">
        <f>ROUND('T1'!P29,$D$73)</f>
        <v>896.31</v>
      </c>
      <c r="P74" s="16"/>
      <c r="Q74" s="672">
        <f>ROUND('T1'!R29,$D$73)</f>
        <v>826.43100000000004</v>
      </c>
      <c r="R74" s="1084"/>
      <c r="S74" s="1084"/>
      <c r="T74" s="1084"/>
      <c r="U74" s="1084"/>
      <c r="V74" s="1084"/>
      <c r="W74" s="1084"/>
      <c r="X74" s="1084"/>
      <c r="Y74" s="1084"/>
    </row>
    <row r="75" spans="1:25" s="1085" customFormat="1" outlineLevel="1">
      <c r="A75" s="39"/>
      <c r="B75" s="40"/>
      <c r="C75" s="41" t="s">
        <v>634</v>
      </c>
      <c r="D75" s="1086"/>
      <c r="E75" s="672">
        <f>ROUND('T1 ENBR'!F29+'T1 ENGM'!F29+'T1 ENZV'!F29+'T1 ENVA'!F29,$D$73)</f>
        <v>1379.63</v>
      </c>
      <c r="F75" s="672">
        <f>ROUND('T1 ENBR'!G29+'T1 ENGM'!G29+'T1 ENZV'!G29+'T1 ENVA'!G29,$D$73)</f>
        <v>1025</v>
      </c>
      <c r="G75" s="672">
        <f>ROUND('T1 ENBR'!H29+'T1 ENGM'!H29+'T1 ENZV'!H29+'T1 ENVA'!H29,$D$73)</f>
        <v>1066.3399999999999</v>
      </c>
      <c r="H75" s="672">
        <f>ROUND('T1 ENBR'!I29+'T1 ENGM'!I29+'T1 ENZV'!I29+'T1 ENVA'!I29,$D$73)</f>
        <v>1087.6669999999999</v>
      </c>
      <c r="I75" s="672">
        <f>ROUND('T1 ENBR'!J29+'T1 ENGM'!J29+'T1 ENZV'!J29+'T1 ENVA'!J29,$D$73)</f>
        <v>1159</v>
      </c>
      <c r="J75" s="672">
        <f>ROUND('T1 ENBR'!K29+'T1 ENGM'!K29+'T1 ENZV'!K29+'T1 ENVA'!K29,$D$73)</f>
        <v>826.43100000000004</v>
      </c>
      <c r="K75" s="672">
        <f>ROUND('T1 ENBR'!L29+'T1 ENGM'!L29+'T1 ENZV'!L29+'T1 ENVA'!L29,$D$73)</f>
        <v>844.61199999999997</v>
      </c>
      <c r="L75" s="672">
        <f>ROUND('T1 ENBR'!M29+'T1 ENGM'!M29+'T1 ENZV'!M29+'T1 ENVA'!M29,$D$73)</f>
        <v>1671.0429999999999</v>
      </c>
      <c r="M75" s="672">
        <f>ROUND('T1 ENBR'!N29+'T1 ENGM'!N29+'T1 ENZV'!N29+'T1 ENVA'!N29,$D$73)</f>
        <v>861.505</v>
      </c>
      <c r="N75" s="672">
        <f>ROUND('T1 ENBR'!O29+'T1 ENGM'!O29+'T1 ENZV'!O29+'T1 ENVA'!O29,$D$73)</f>
        <v>878.73500000000001</v>
      </c>
      <c r="O75" s="672">
        <f>ROUND('T1 ENBR'!P29+'T1 ENGM'!P29+'T1 ENZV'!P29+'T1 ENVA'!P29,$D$73)</f>
        <v>896.31</v>
      </c>
      <c r="P75" s="16"/>
      <c r="Q75" s="672">
        <f>ROUND('T1 ENBR'!R29+'T1 ENGM'!R29+'T1 ENZV'!R29+'T1 ENVA'!R29,$D$73)</f>
        <v>826.43100000000004</v>
      </c>
      <c r="R75" s="1084"/>
      <c r="S75" s="1084"/>
      <c r="T75" s="1084"/>
      <c r="U75" s="1084"/>
      <c r="V75" s="1084"/>
      <c r="W75" s="1084"/>
      <c r="X75" s="1084"/>
      <c r="Y75" s="1084"/>
    </row>
    <row r="76" spans="1:25" s="1085" customFormat="1">
      <c r="A76" s="33" t="s">
        <v>635</v>
      </c>
      <c r="B76" s="34" t="s">
        <v>636</v>
      </c>
      <c r="C76" s="35" t="s">
        <v>637</v>
      </c>
      <c r="D76" s="1083">
        <v>3</v>
      </c>
      <c r="E76" s="37" t="b">
        <f>ROUND('T1'!F30,$D$76)=ROUND('T1 ENBR'!F30+'T1 ENGM'!F30+'T1 ENZV'!F30+'T1 ENVA'!F30,$D$76)</f>
        <v>1</v>
      </c>
      <c r="F76" s="37" t="b">
        <f>ROUND('T1'!G30,$D$76)=ROUND('T1 ENBR'!G30+'T1 ENGM'!G30+'T1 ENZV'!G30+'T1 ENVA'!G30,$D$76)</f>
        <v>1</v>
      </c>
      <c r="G76" s="37" t="b">
        <f>ROUND('T1'!H30,$D$76)=ROUND('T1 ENBR'!H30+'T1 ENGM'!H30+'T1 ENZV'!H30+'T1 ENVA'!H30,$D$76)</f>
        <v>1</v>
      </c>
      <c r="H76" s="37" t="b">
        <f>ROUND('T1'!I30,$D$76)=ROUND('T1 ENBR'!I30+'T1 ENGM'!I30+'T1 ENZV'!I30+'T1 ENVA'!I30,$D$76)</f>
        <v>1</v>
      </c>
      <c r="I76" s="37" t="b">
        <f>ROUND('T1'!J30,$D$76)=ROUND('T1 ENBR'!J30+'T1 ENGM'!J30+'T1 ENZV'!J30+'T1 ENVA'!J30,$D$76)</f>
        <v>1</v>
      </c>
      <c r="J76" s="37" t="b">
        <f>ROUND('T1'!K30,$D$76)=ROUND('T1 ENBR'!K30+'T1 ENGM'!K30+'T1 ENZV'!K30+'T1 ENVA'!K30,$D$76)</f>
        <v>1</v>
      </c>
      <c r="K76" s="37" t="b">
        <f>ROUND('T1'!L30,$D$76)=ROUND('T1 ENBR'!L30+'T1 ENGM'!L30+'T1 ENZV'!L30+'T1 ENVA'!L30,$D$76)</f>
        <v>1</v>
      </c>
      <c r="L76" s="37" t="b">
        <f>ROUND('T1'!M30,$D$76)=ROUND('T1 ENBR'!M30+'T1 ENGM'!M30+'T1 ENZV'!M30+'T1 ENVA'!M30,$D$76)</f>
        <v>1</v>
      </c>
      <c r="M76" s="37" t="b">
        <f>ROUND('T1'!N30,$D$76)=ROUND('T1 ENBR'!N30+'T1 ENGM'!N30+'T1 ENZV'!N30+'T1 ENVA'!N30,$D$76)</f>
        <v>1</v>
      </c>
      <c r="N76" s="37" t="b">
        <f>ROUND('T1'!O30,$D$76)=ROUND('T1 ENBR'!O30+'T1 ENGM'!O30+'T1 ENZV'!O30+'T1 ENVA'!O30,$D$76)</f>
        <v>1</v>
      </c>
      <c r="O76" s="37" t="b">
        <f>ROUND('T1'!P30,$D$76)=ROUND('T1 ENBR'!P30+'T1 ENGM'!P30+'T1 ENZV'!P30+'T1 ENVA'!P30,$D$76)</f>
        <v>1</v>
      </c>
      <c r="P76" s="16"/>
      <c r="Q76" s="37" t="b">
        <f>ROUND('T1'!R30,$D$76)=ROUND('T1 ENBR'!R30+'T1 ENGM'!R30+'T1 ENZV'!R30+'T1 ENVA'!R30,$D$76)</f>
        <v>1</v>
      </c>
      <c r="R76" s="1084"/>
      <c r="S76" s="1084"/>
      <c r="T76" s="1084"/>
      <c r="U76" s="1084"/>
      <c r="V76" s="1084"/>
      <c r="W76" s="1084"/>
      <c r="X76" s="1084"/>
      <c r="Y76" s="1084"/>
    </row>
    <row r="77" spans="1:25" s="1085" customFormat="1" outlineLevel="1">
      <c r="A77" s="39"/>
      <c r="B77" s="40"/>
      <c r="C77" s="41" t="s">
        <v>638</v>
      </c>
      <c r="D77" s="1086"/>
      <c r="E77" s="672">
        <f>ROUND('T1'!F30,$D$76)</f>
        <v>0</v>
      </c>
      <c r="F77" s="672">
        <f>ROUND('T1'!G30,$D$76)</f>
        <v>0</v>
      </c>
      <c r="G77" s="672">
        <f>ROUND('T1'!H30,$D$76)</f>
        <v>0</v>
      </c>
      <c r="H77" s="672">
        <f>ROUND('T1'!I30,$D$76)</f>
        <v>0</v>
      </c>
      <c r="I77" s="672">
        <f>ROUND('T1'!J30,$D$76)</f>
        <v>0</v>
      </c>
      <c r="J77" s="672">
        <f>ROUND('T1'!K30,$D$76)</f>
        <v>0</v>
      </c>
      <c r="K77" s="672">
        <f>ROUND('T1'!L30,$D$76)</f>
        <v>0</v>
      </c>
      <c r="L77" s="672">
        <f>ROUND('T1'!M30,$D$76)</f>
        <v>0</v>
      </c>
      <c r="M77" s="672">
        <f>ROUND('T1'!N30,$D$76)</f>
        <v>0</v>
      </c>
      <c r="N77" s="672">
        <f>ROUND('T1'!O30,$D$76)</f>
        <v>0</v>
      </c>
      <c r="O77" s="672">
        <f>ROUND('T1'!P30,$D$76)</f>
        <v>0</v>
      </c>
      <c r="P77" s="16"/>
      <c r="Q77" s="672">
        <f>ROUND('T1'!R30,$D$76)</f>
        <v>0</v>
      </c>
      <c r="R77" s="1084"/>
      <c r="S77" s="1084"/>
      <c r="T77" s="1084"/>
      <c r="U77" s="1084"/>
      <c r="V77" s="1084"/>
      <c r="W77" s="1084"/>
      <c r="X77" s="1084"/>
      <c r="Y77" s="1084"/>
    </row>
    <row r="78" spans="1:25" s="1085" customFormat="1" outlineLevel="1">
      <c r="A78" s="39"/>
      <c r="B78" s="40"/>
      <c r="C78" s="41" t="s">
        <v>639</v>
      </c>
      <c r="D78" s="1086"/>
      <c r="E78" s="672">
        <f>ROUND('T1 ENBR'!F30+'T1 ENGM'!F30+'T1 ENZV'!F30+'T1 ENVA'!F30,$D$76)</f>
        <v>0</v>
      </c>
      <c r="F78" s="672">
        <f>ROUND('T1 ENBR'!G30+'T1 ENGM'!G30+'T1 ENZV'!G30+'T1 ENVA'!G30,$D$76)</f>
        <v>0</v>
      </c>
      <c r="G78" s="672">
        <f>ROUND('T1 ENBR'!H30+'T1 ENGM'!H30+'T1 ENZV'!H30+'T1 ENVA'!H30,$D$76)</f>
        <v>0</v>
      </c>
      <c r="H78" s="672">
        <f>ROUND('T1 ENBR'!I30+'T1 ENGM'!I30+'T1 ENZV'!I30+'T1 ENVA'!I30,$D$76)</f>
        <v>0</v>
      </c>
      <c r="I78" s="672">
        <f>ROUND('T1 ENBR'!J30+'T1 ENGM'!J30+'T1 ENZV'!J30+'T1 ENVA'!J30,$D$76)</f>
        <v>0</v>
      </c>
      <c r="J78" s="672">
        <f>ROUND('T1 ENBR'!K30+'T1 ENGM'!K30+'T1 ENZV'!K30+'T1 ENVA'!K30,$D$76)</f>
        <v>0</v>
      </c>
      <c r="K78" s="672">
        <f>ROUND('T1 ENBR'!L30+'T1 ENGM'!L30+'T1 ENZV'!L30+'T1 ENVA'!L30,$D$76)</f>
        <v>0</v>
      </c>
      <c r="L78" s="672">
        <f>ROUND('T1 ENBR'!M30+'T1 ENGM'!M30+'T1 ENZV'!M30+'T1 ENVA'!M30,$D$76)</f>
        <v>0</v>
      </c>
      <c r="M78" s="672">
        <f>ROUND('T1 ENBR'!N30+'T1 ENGM'!N30+'T1 ENZV'!N30+'T1 ENVA'!N30,$D$76)</f>
        <v>0</v>
      </c>
      <c r="N78" s="672">
        <f>ROUND('T1 ENBR'!O30+'T1 ENGM'!O30+'T1 ENZV'!O30+'T1 ENVA'!O30,$D$76)</f>
        <v>0</v>
      </c>
      <c r="O78" s="672">
        <f>ROUND('T1 ENBR'!P30+'T1 ENGM'!P30+'T1 ENZV'!P30+'T1 ENVA'!P30,$D$76)</f>
        <v>0</v>
      </c>
      <c r="P78" s="16"/>
      <c r="Q78" s="672">
        <f>ROUND('T1 ENBR'!R30+'T1 ENGM'!R30+'T1 ENZV'!R30+'T1 ENVA'!R30,$D$76)</f>
        <v>0</v>
      </c>
      <c r="R78" s="1084"/>
      <c r="S78" s="1084"/>
      <c r="T78" s="1084"/>
      <c r="U78" s="1084"/>
      <c r="V78" s="1084"/>
      <c r="W78" s="1084"/>
      <c r="X78" s="1084"/>
      <c r="Y78" s="1084"/>
    </row>
    <row r="79" spans="1:25" s="1085" customFormat="1">
      <c r="A79" s="33" t="s">
        <v>710</v>
      </c>
      <c r="B79" s="34" t="s">
        <v>376</v>
      </c>
      <c r="C79" s="35" t="s">
        <v>711</v>
      </c>
      <c r="D79" s="1083">
        <v>3</v>
      </c>
      <c r="E79" s="37" t="b">
        <f>ROUND('T1'!F33,$D$76)=ROUND('T1 ENBR'!F33+'T1 ENGM'!F33+'T1 ENZV'!F33+'T1 ENVA'!F33,$D$76)</f>
        <v>1</v>
      </c>
      <c r="F79" s="37" t="b">
        <f>ROUND('T1'!G33,$D$76)=ROUND('T1 ENBR'!G33+'T1 ENGM'!G33+'T1 ENZV'!G33+'T1 ENVA'!G33,$D$76)</f>
        <v>1</v>
      </c>
      <c r="G79" s="37" t="b">
        <f>ROUND('T1'!H33,$D$76)=ROUND('T1 ENBR'!H33+'T1 ENGM'!H33+'T1 ENZV'!H33+'T1 ENVA'!H33,$D$76)</f>
        <v>1</v>
      </c>
      <c r="H79" s="37" t="b">
        <f>ROUND('T1'!I33,$D$76)=ROUND('T1 ENBR'!I33+'T1 ENGM'!I33+'T1 ENZV'!I33+'T1 ENVA'!I33,$D$76)</f>
        <v>1</v>
      </c>
      <c r="I79" s="37" t="b">
        <f>ROUND('T1'!J33,$D$76)=ROUND('T1 ENBR'!J33+'T1 ENGM'!J33+'T1 ENZV'!J33+'T1 ENVA'!J33,$D$76)</f>
        <v>1</v>
      </c>
      <c r="J79" s="37" t="b">
        <f>ROUND('T1'!K33,$D$76)=ROUND('T1 ENBR'!K33+'T1 ENGM'!K33+'T1 ENZV'!K33+'T1 ENVA'!K33,$D$76)</f>
        <v>1</v>
      </c>
      <c r="K79" s="37" t="b">
        <f>ROUND('T1'!L33,$D$76)=ROUND('T1 ENBR'!L33+'T1 ENGM'!L33+'T1 ENZV'!L33+'T1 ENVA'!L33,$D$76)</f>
        <v>1</v>
      </c>
      <c r="L79" s="37" t="b">
        <f>ROUND('T1'!M33,$D$76)=ROUND('T1 ENBR'!M33+'T1 ENGM'!M33+'T1 ENZV'!M33+'T1 ENVA'!M33,$D$76)</f>
        <v>1</v>
      </c>
      <c r="M79" s="37" t="b">
        <f>ROUND('T1'!N33,$D$76)=ROUND('T1 ENBR'!N33+'T1 ENGM'!N33+'T1 ENZV'!N33+'T1 ENVA'!N33,$D$76)</f>
        <v>1</v>
      </c>
      <c r="N79" s="37" t="b">
        <f>ROUND('T1'!O33,$D$76)=ROUND('T1 ENBR'!O33+'T1 ENGM'!O33+'T1 ENZV'!O33+'T1 ENVA'!O33,$D$76)</f>
        <v>1</v>
      </c>
      <c r="O79" s="37" t="b">
        <f>ROUND('T1'!P33,$D$76)=ROUND('T1 ENBR'!P33+'T1 ENGM'!P33+'T1 ENZV'!P33+'T1 ENVA'!P33,$D$76)</f>
        <v>1</v>
      </c>
      <c r="P79" s="16"/>
      <c r="Q79" s="37" t="b">
        <f>ROUND('T1'!R33,$D$76)=ROUND('T1 ENBR'!R33+'T1 ENGM'!R33+'T1 ENZV'!R33+'T1 ENVA'!R33,$D$76)</f>
        <v>1</v>
      </c>
      <c r="R79" s="1084"/>
      <c r="S79" s="1084"/>
      <c r="T79" s="1084"/>
      <c r="U79" s="1084"/>
      <c r="V79" s="1084"/>
      <c r="W79" s="1084"/>
      <c r="X79" s="1084"/>
      <c r="Y79" s="1084"/>
    </row>
    <row r="80" spans="1:25" s="1085" customFormat="1" outlineLevel="1">
      <c r="A80" s="39"/>
      <c r="B80" s="40"/>
      <c r="C80" s="41" t="s">
        <v>712</v>
      </c>
      <c r="D80" s="1086"/>
      <c r="E80" s="672">
        <f>ROUND('T1'!F33,$D$76)</f>
        <v>0</v>
      </c>
      <c r="F80" s="672">
        <f>ROUND('T1'!G33,$D$76)</f>
        <v>0</v>
      </c>
      <c r="G80" s="672">
        <f>ROUND('T1'!H33,$D$76)</f>
        <v>0</v>
      </c>
      <c r="H80" s="672">
        <f>ROUND('T1'!I33,$D$76)</f>
        <v>0</v>
      </c>
      <c r="I80" s="672">
        <f>ROUND('T1'!J33,$D$76)</f>
        <v>0</v>
      </c>
      <c r="J80" s="672">
        <f>ROUND('T1'!K33,$D$76)</f>
        <v>0</v>
      </c>
      <c r="K80" s="672">
        <f>ROUND('T1'!L33,$D$76)</f>
        <v>0</v>
      </c>
      <c r="L80" s="672">
        <f>ROUND('T1'!M33,$D$76)</f>
        <v>0</v>
      </c>
      <c r="M80" s="672">
        <f>ROUND('T1'!N33,$D$76)</f>
        <v>0</v>
      </c>
      <c r="N80" s="672">
        <f>ROUND('T1'!O33,$D$76)</f>
        <v>0</v>
      </c>
      <c r="O80" s="672">
        <f>ROUND('T1'!P33,$D$76)</f>
        <v>0</v>
      </c>
      <c r="P80" s="16"/>
      <c r="Q80" s="672">
        <f>ROUND('T1'!R33,$D$76)</f>
        <v>0</v>
      </c>
      <c r="R80" s="1084"/>
      <c r="S80" s="1084"/>
      <c r="T80" s="1084"/>
      <c r="U80" s="1084"/>
      <c r="V80" s="1084"/>
      <c r="W80" s="1084"/>
      <c r="X80" s="1084"/>
      <c r="Y80" s="1084"/>
    </row>
    <row r="81" spans="1:26" s="1085" customFormat="1" outlineLevel="1">
      <c r="A81" s="39"/>
      <c r="B81" s="40"/>
      <c r="C81" s="41" t="s">
        <v>713</v>
      </c>
      <c r="D81" s="1086"/>
      <c r="E81" s="672">
        <f>ROUND('T1 ENBR'!F33+'T1 ENGM'!F33+'T1 ENZV'!F33+'T1 ENVA'!F33,$D$76)</f>
        <v>0</v>
      </c>
      <c r="F81" s="672">
        <f>ROUND('T1 ENBR'!G33+'T1 ENGM'!G33+'T1 ENZV'!G33+'T1 ENVA'!G33,$D$76)</f>
        <v>0</v>
      </c>
      <c r="G81" s="672">
        <f>ROUND('T1 ENBR'!H33+'T1 ENGM'!H33+'T1 ENZV'!H33+'T1 ENVA'!H33,$D$76)</f>
        <v>0</v>
      </c>
      <c r="H81" s="672">
        <f>ROUND('T1 ENBR'!I33+'T1 ENGM'!I33+'T1 ENZV'!I33+'T1 ENVA'!I33,$D$76)</f>
        <v>0</v>
      </c>
      <c r="I81" s="672">
        <f>ROUND('T1 ENBR'!J33+'T1 ENGM'!J33+'T1 ENZV'!J33+'T1 ENVA'!J33,$D$76)</f>
        <v>0</v>
      </c>
      <c r="J81" s="672">
        <f>ROUND('T1 ENBR'!K33+'T1 ENGM'!K33+'T1 ENZV'!K33+'T1 ENVA'!K33,$D$76)</f>
        <v>0</v>
      </c>
      <c r="K81" s="672">
        <f>ROUND('T1 ENBR'!L33+'T1 ENGM'!L33+'T1 ENZV'!L33+'T1 ENVA'!L33,$D$76)</f>
        <v>0</v>
      </c>
      <c r="L81" s="672">
        <f>ROUND('T1 ENBR'!M33+'T1 ENGM'!M33+'T1 ENZV'!M33+'T1 ENVA'!M33,$D$76)</f>
        <v>0</v>
      </c>
      <c r="M81" s="672">
        <f>ROUND('T1 ENBR'!N33+'T1 ENGM'!N33+'T1 ENZV'!N33+'T1 ENVA'!N33,$D$76)</f>
        <v>0</v>
      </c>
      <c r="N81" s="672">
        <f>ROUND('T1 ENBR'!O33+'T1 ENGM'!O33+'T1 ENZV'!O33+'T1 ENVA'!O33,$D$76)</f>
        <v>0</v>
      </c>
      <c r="O81" s="672">
        <f>ROUND('T1 ENBR'!P33+'T1 ENGM'!P33+'T1 ENZV'!P33+'T1 ENVA'!P33,$D$76)</f>
        <v>0</v>
      </c>
      <c r="P81" s="16"/>
      <c r="Q81" s="672">
        <f>ROUND('T1 ENBR'!R33+'T1 ENGM'!R33+'T1 ENZV'!R33+'T1 ENVA'!R33,$D$76)</f>
        <v>0</v>
      </c>
      <c r="R81" s="1084"/>
      <c r="S81" s="1084"/>
      <c r="T81" s="1084"/>
      <c r="U81" s="1084"/>
      <c r="V81" s="1084"/>
      <c r="W81" s="1084"/>
      <c r="X81" s="1084"/>
      <c r="Y81" s="1084"/>
    </row>
    <row r="82" spans="1:26" s="1085" customFormat="1">
      <c r="A82" s="33" t="s">
        <v>640</v>
      </c>
      <c r="B82" s="34" t="s">
        <v>51</v>
      </c>
      <c r="C82" s="35" t="s">
        <v>570</v>
      </c>
      <c r="D82" s="1083">
        <v>3</v>
      </c>
      <c r="E82" s="37" t="b">
        <f>ROUND('T1'!F60,$D$82)=ROUND('T1 ENBR'!F60+'T1 ENGM'!F60+'T1 ENZV'!F60+'T1 ENVA'!F60,$D$82)</f>
        <v>1</v>
      </c>
      <c r="F82" s="37" t="b">
        <f>ROUND('T1'!G60,$D$82)=ROUND('T1 ENBR'!G60+'T1 ENGM'!G60+'T1 ENZV'!G60+'T1 ENVA'!G60,$D$82)</f>
        <v>0</v>
      </c>
      <c r="G82" s="37" t="b">
        <f>ROUND('T1'!H60,$D$82)=ROUND('T1 ENBR'!H60+'T1 ENGM'!H60+'T1 ENZV'!H60+'T1 ENVA'!H60,$D$82)</f>
        <v>0</v>
      </c>
      <c r="H82" s="37" t="b">
        <f>ROUND('T1'!I60,$D$82)=ROUND('T1 ENBR'!I60+'T1 ENGM'!I60+'T1 ENZV'!I60+'T1 ENVA'!I60,$D$82)</f>
        <v>1</v>
      </c>
      <c r="I82" s="37" t="b">
        <f>ROUND('T1'!J60,$D$82)=ROUND('T1 ENBR'!J60+'T1 ENGM'!J60+'T1 ENZV'!J60+'T1 ENVA'!J60,$D$82)</f>
        <v>1</v>
      </c>
      <c r="J82" s="37" t="b">
        <f>ROUND('T1'!K60,$D$82)=ROUND('T1 ENBR'!K60+'T1 ENGM'!K60+'T1 ENZV'!K60+'T1 ENVA'!K60,$D$82)</f>
        <v>1</v>
      </c>
      <c r="K82" s="37" t="b">
        <f>ROUND('T1'!L60,$D$82)=ROUND('T1 ENBR'!L60+'T1 ENGM'!L60+'T1 ENZV'!L60+'T1 ENVA'!L60,$D$82)</f>
        <v>1</v>
      </c>
      <c r="L82" s="37" t="b">
        <f>ROUND('T1'!M60,$D$82)=ROUND('T1 ENBR'!M60+'T1 ENGM'!M60+'T1 ENZV'!M60+'T1 ENVA'!M60,$D$82)</f>
        <v>1</v>
      </c>
      <c r="M82" s="37" t="b">
        <f>ROUND('T1'!N60,$D$82)=ROUND('T1 ENBR'!N60+'T1 ENGM'!N60+'T1 ENZV'!N60+'T1 ENVA'!N60,$D$82)</f>
        <v>1</v>
      </c>
      <c r="N82" s="37" t="b">
        <f>ROUND('T1'!O60,$D$82)=ROUND('T1 ENBR'!O60+'T1 ENGM'!O60+'T1 ENZV'!O60+'T1 ENVA'!O60,$D$82)</f>
        <v>1</v>
      </c>
      <c r="O82" s="37" t="b">
        <f>ROUND('T1'!P60,$D$82)=ROUND('T1 ENBR'!P60+'T1 ENGM'!P60+'T1 ENZV'!P60+'T1 ENVA'!P60,$D$82)</f>
        <v>1</v>
      </c>
      <c r="P82" s="16"/>
      <c r="Q82" s="37" t="b">
        <f>ROUND('T1'!R60,$D$82)=ROUND('T1 ENBR'!R60+'T1 ENGM'!R60+'T1 ENZV'!R60+'T1 ENVA'!R60,$D$82)</f>
        <v>1</v>
      </c>
      <c r="R82" s="1084"/>
      <c r="S82" s="1084"/>
      <c r="T82" s="1084"/>
      <c r="U82" s="1084"/>
      <c r="V82" s="1084"/>
      <c r="W82" s="1084"/>
      <c r="X82" s="1084"/>
      <c r="Y82" s="1084"/>
    </row>
    <row r="83" spans="1:26" s="1085" customFormat="1" outlineLevel="1">
      <c r="A83" s="39"/>
      <c r="B83" s="40"/>
      <c r="C83" s="41" t="s">
        <v>641</v>
      </c>
      <c r="D83" s="1086"/>
      <c r="E83" s="672">
        <f>ROUND('T1'!F60,$D$82)</f>
        <v>1139.3489999999999</v>
      </c>
      <c r="F83" s="672">
        <f>ROUND('T1'!G60,$D$82)</f>
        <v>1156.154</v>
      </c>
      <c r="G83" s="672">
        <f>ROUND('T1'!H60,$D$82)</f>
        <v>1153.4159999999999</v>
      </c>
      <c r="H83" s="672">
        <f>ROUND('T1'!I60,$D$82)</f>
        <v>1198.905</v>
      </c>
      <c r="I83" s="672">
        <f>ROUND('T1'!J60,$D$82)</f>
        <v>1172.441</v>
      </c>
      <c r="J83" s="672">
        <f>ROUND('T1'!K60,$D$82)</f>
        <v>1026.5139999999999</v>
      </c>
      <c r="K83" s="672">
        <f>ROUND('T1'!L60,$D$82)</f>
        <v>1030.4870000000001</v>
      </c>
      <c r="L83" s="672">
        <f>ROUND('T1'!M60,$D$82)</f>
        <v>2057.0010000000002</v>
      </c>
      <c r="M83" s="672">
        <f>ROUND('T1'!N60,$D$82)</f>
        <v>1025.673</v>
      </c>
      <c r="N83" s="672">
        <f>ROUND('T1'!O60,$D$82)</f>
        <v>1079.923</v>
      </c>
      <c r="O83" s="672">
        <f>ROUND('T1'!P60,$D$82)</f>
        <v>1119.4870000000001</v>
      </c>
      <c r="P83" s="16"/>
      <c r="Q83" s="672">
        <f>ROUND('T1'!R60,$D$82)</f>
        <v>1026.5139999999999</v>
      </c>
      <c r="R83" s="1084"/>
      <c r="S83" s="1084"/>
      <c r="T83" s="1084"/>
      <c r="U83" s="1084"/>
      <c r="V83" s="1084"/>
      <c r="W83" s="1084"/>
      <c r="X83" s="1084"/>
      <c r="Y83" s="1084"/>
    </row>
    <row r="84" spans="1:26" s="1085" customFormat="1" outlineLevel="1">
      <c r="A84" s="39"/>
      <c r="B84" s="40"/>
      <c r="C84" s="41" t="s">
        <v>642</v>
      </c>
      <c r="D84" s="1086"/>
      <c r="E84" s="672">
        <f>ROUND('T1 ENBR'!F60+'T1 ENGM'!F60+'T1 ENZV'!F60+'T1 ENVA'!F60,$D$82)</f>
        <v>1139.3489999999999</v>
      </c>
      <c r="F84" s="672">
        <f>ROUND('T1 ENBR'!G60+'T1 ENGM'!G60+'T1 ENZV'!G60+'T1 ENVA'!G60,$D$82)</f>
        <v>1156.155</v>
      </c>
      <c r="G84" s="672">
        <f>ROUND('T1 ENBR'!H60+'T1 ENGM'!H60+'T1 ENZV'!H60+'T1 ENVA'!H60,$D$82)</f>
        <v>1150.288</v>
      </c>
      <c r="H84" s="672">
        <f>ROUND('T1 ENBR'!I60+'T1 ENGM'!I60+'T1 ENZV'!I60+'T1 ENVA'!I60,$D$82)</f>
        <v>1198.905</v>
      </c>
      <c r="I84" s="672">
        <f>ROUND('T1 ENBR'!J60+'T1 ENGM'!J60+'T1 ENZV'!J60+'T1 ENVA'!J60,$D$82)</f>
        <v>1172.441</v>
      </c>
      <c r="J84" s="672">
        <f>ROUND('T1 ENBR'!K60+'T1 ENGM'!K60+'T1 ENZV'!K60+'T1 ENVA'!K60,$D$82)</f>
        <v>1026.5139999999999</v>
      </c>
      <c r="K84" s="672">
        <f>ROUND('T1 ENBR'!L60+'T1 ENGM'!L60+'T1 ENZV'!L60+'T1 ENVA'!L60,$D$82)</f>
        <v>1030.4870000000001</v>
      </c>
      <c r="L84" s="672">
        <f>ROUND('T1 ENBR'!M60+'T1 ENGM'!M60+'T1 ENZV'!M60+'T1 ENVA'!M60,$D$82)</f>
        <v>2057.0010000000002</v>
      </c>
      <c r="M84" s="672">
        <f>ROUND('T1 ENBR'!N60+'T1 ENGM'!N60+'T1 ENZV'!N60+'T1 ENVA'!N60,$D$82)</f>
        <v>1025.673</v>
      </c>
      <c r="N84" s="672">
        <f>ROUND('T1 ENBR'!O60+'T1 ENGM'!O60+'T1 ENZV'!O60+'T1 ENVA'!O60,$D$82)</f>
        <v>1079.923</v>
      </c>
      <c r="O84" s="672">
        <f>ROUND('T1 ENBR'!P60+'T1 ENGM'!P60+'T1 ENZV'!P60+'T1 ENVA'!P60,$D$82)</f>
        <v>1119.4870000000001</v>
      </c>
      <c r="P84" s="16"/>
      <c r="Q84" s="672">
        <f>ROUND('T1 ENBR'!R60+'T1 ENGM'!R60+'T1 ENZV'!R60+'T1 ENVA'!R60,$D$82)</f>
        <v>1026.5139999999999</v>
      </c>
      <c r="R84" s="1084"/>
      <c r="S84" s="1084"/>
      <c r="T84" s="1084"/>
      <c r="U84" s="1084"/>
      <c r="V84" s="1084"/>
      <c r="W84" s="1084"/>
      <c r="X84" s="1084"/>
      <c r="Y84" s="1084"/>
    </row>
    <row r="85" spans="1:26" s="51" customFormat="1" ht="18.75">
      <c r="A85" s="27" t="s">
        <v>13</v>
      </c>
      <c r="B85" s="28" t="s">
        <v>14</v>
      </c>
      <c r="C85" s="29" t="s">
        <v>671</v>
      </c>
      <c r="D85" s="49"/>
      <c r="E85" s="50"/>
      <c r="F85" s="50"/>
      <c r="G85" s="50"/>
      <c r="H85" s="50"/>
      <c r="I85" s="50"/>
      <c r="J85" s="50"/>
      <c r="K85" s="50"/>
      <c r="L85" s="50"/>
      <c r="M85" s="50"/>
      <c r="N85" s="50"/>
      <c r="O85" s="50"/>
      <c r="P85" s="16"/>
      <c r="Q85" s="50"/>
      <c r="R85" s="16"/>
      <c r="S85" s="16"/>
      <c r="T85" s="16"/>
      <c r="U85" s="16"/>
      <c r="V85" s="16"/>
    </row>
    <row r="86" spans="1:26" s="38" customFormat="1" ht="15" customHeight="1">
      <c r="A86" s="52" t="s">
        <v>20</v>
      </c>
      <c r="B86" s="34" t="s">
        <v>21</v>
      </c>
      <c r="C86" s="35" t="s">
        <v>22</v>
      </c>
      <c r="D86" s="53">
        <v>3</v>
      </c>
      <c r="E86" s="37" t="b">
        <f>ROUND('T1 ANSP'!F18,$D$86)=ROUND(('T1 ANSP'!F12+SUM('T1 ANSP'!F14:F17)),$D$86)</f>
        <v>1</v>
      </c>
      <c r="F86" s="37" t="b">
        <f>ROUND('T1 ANSP'!G18,$D$86)=ROUND(('T1 ANSP'!G12+SUM('T1 ANSP'!G14:G17)),$D$86)</f>
        <v>1</v>
      </c>
      <c r="G86" s="37" t="b">
        <f>ROUND('T1 ANSP'!H18,$D$86)=ROUND(('T1 ANSP'!H12+SUM('T1 ANSP'!H14:H17)),$D$86)</f>
        <v>1</v>
      </c>
      <c r="H86" s="37" t="b">
        <f>ROUND('T1 ANSP'!I18,$D$86)=ROUND(('T1 ANSP'!I12+SUM('T1 ANSP'!I14:I17)),$D$86)</f>
        <v>1</v>
      </c>
      <c r="I86" s="37" t="b">
        <f>ROUND('T1 ANSP'!J18,$D$86)=ROUND(('T1 ANSP'!J12+SUM('T1 ANSP'!J14:J17)),$D$86)</f>
        <v>1</v>
      </c>
      <c r="J86" s="37" t="b">
        <f>ROUND('T1 ANSP'!K18,$D$86)=ROUND(('T1 ANSP'!K12+SUM('T1 ANSP'!K14:K17)),$D$86)</f>
        <v>1</v>
      </c>
      <c r="K86" s="37" t="b">
        <f>ROUND('T1 ANSP'!L18,$D$86)=ROUND(('T1 ANSP'!L12+SUM('T1 ANSP'!L14:L17)),$D$86)</f>
        <v>1</v>
      </c>
      <c r="L86" s="37" t="b">
        <f>ROUND('T1 ANSP'!M18,$D$86)=ROUND(('T1 ANSP'!M12+SUM('T1 ANSP'!M14:M17)),$D$86)</f>
        <v>1</v>
      </c>
      <c r="M86" s="37" t="b">
        <f>ROUND('T1 ANSP'!N18,$D$86)=ROUND(('T1 ANSP'!N12+SUM('T1 ANSP'!N14:N17)),$D$86)</f>
        <v>1</v>
      </c>
      <c r="N86" s="37" t="b">
        <f>ROUND('T1 ANSP'!O18,$D$86)=ROUND(('T1 ANSP'!O12+SUM('T1 ANSP'!O14:O17)),$D$86)</f>
        <v>1</v>
      </c>
      <c r="O86" s="37" t="b">
        <f>ROUND('T1 ANSP'!P18,$D$86)=ROUND(('T1 ANSP'!P12+SUM('T1 ANSP'!P14:P17)),$D$86)</f>
        <v>1</v>
      </c>
      <c r="P86" s="16"/>
      <c r="Q86" s="37" t="b">
        <f>ROUND('T1 ANSP'!R18,$D$86)=ROUND(('T1 ANSP'!R12+SUM('T1 ANSP'!R14:R17)),$D$86)</f>
        <v>1</v>
      </c>
      <c r="R86" s="16"/>
      <c r="S86" s="16"/>
      <c r="T86" s="16"/>
      <c r="U86" s="16"/>
      <c r="V86" s="16"/>
    </row>
    <row r="87" spans="1:26" s="44" customFormat="1" ht="15" customHeight="1" outlineLevel="1">
      <c r="A87" s="54"/>
      <c r="B87" s="55"/>
      <c r="C87" s="41" t="s">
        <v>531</v>
      </c>
      <c r="D87" s="45"/>
      <c r="E87" s="672">
        <f>ROUND('T1 ANSP'!F18,$D$86)</f>
        <v>447371.386</v>
      </c>
      <c r="F87" s="672">
        <f>ROUND('T1 ANSP'!G18,$D$86)</f>
        <v>456391.772</v>
      </c>
      <c r="G87" s="672">
        <f>ROUND('T1 ANSP'!H18,$D$86)</f>
        <v>454876.14600000001</v>
      </c>
      <c r="H87" s="672">
        <f>ROUND('T1 ANSP'!I18,$D$86)</f>
        <v>472725.60499999998</v>
      </c>
      <c r="I87" s="672">
        <f>ROUND('T1 ANSP'!J18,$D$86)</f>
        <v>462126.55300000001</v>
      </c>
      <c r="J87" s="672">
        <f>ROUND('T1 ANSP'!K18,$D$86)</f>
        <v>401829.68300000002</v>
      </c>
      <c r="K87" s="672">
        <f>ROUND('T1 ANSP'!L18,$D$86)</f>
        <v>403225.696</v>
      </c>
      <c r="L87" s="672">
        <f>ROUND('T1 ANSP'!M18,$D$86)</f>
        <v>805055.37899999996</v>
      </c>
      <c r="M87" s="672">
        <f>ROUND('T1 ANSP'!N18,$D$86)</f>
        <v>401120.76</v>
      </c>
      <c r="N87" s="672">
        <f>ROUND('T1 ANSP'!O18,$D$86)</f>
        <v>422638.00099999999</v>
      </c>
      <c r="O87" s="672">
        <f>ROUND('T1 ANSP'!P18,$D$86)</f>
        <v>438276.761</v>
      </c>
      <c r="P87" s="16"/>
      <c r="Q87" s="672">
        <f>ROUND('T1 ANSP'!R18,$D$86)</f>
        <v>401829.68300000002</v>
      </c>
      <c r="R87" s="16"/>
      <c r="S87" s="16"/>
      <c r="T87" s="16"/>
      <c r="U87" s="16"/>
      <c r="V87" s="16"/>
    </row>
    <row r="88" spans="1:26" s="44" customFormat="1" ht="15" customHeight="1" outlineLevel="1">
      <c r="A88" s="54"/>
      <c r="B88" s="40"/>
      <c r="C88" s="41" t="s">
        <v>532</v>
      </c>
      <c r="D88" s="45"/>
      <c r="E88" s="672">
        <f>ROUND(('T1 ANSP'!F12+SUM('T1 ANSP'!F14:F17)),$D$86)</f>
        <v>447371.386</v>
      </c>
      <c r="F88" s="672">
        <f>ROUND(('T1 ANSP'!G12+SUM('T1 ANSP'!G14:G17)),$D$86)</f>
        <v>456391.772</v>
      </c>
      <c r="G88" s="672">
        <f>ROUND(('T1 ANSP'!H12+SUM('T1 ANSP'!H14:H17)),$D$86)</f>
        <v>454876.14600000001</v>
      </c>
      <c r="H88" s="672">
        <f>ROUND(('T1 ANSP'!I12+SUM('T1 ANSP'!I14:I17)),$D$86)</f>
        <v>472725.60499999998</v>
      </c>
      <c r="I88" s="672">
        <f>ROUND(('T1 ANSP'!J12+SUM('T1 ANSP'!J14:J17)),$D$86)</f>
        <v>462126.55300000001</v>
      </c>
      <c r="J88" s="672">
        <f>ROUND(('T1 ANSP'!K12+SUM('T1 ANSP'!K14:K17)),$D$86)</f>
        <v>401829.68300000002</v>
      </c>
      <c r="K88" s="672">
        <f>ROUND(('T1 ANSP'!L12+SUM('T1 ANSP'!L14:L17)),$D$86)</f>
        <v>403225.696</v>
      </c>
      <c r="L88" s="672">
        <f>ROUND(('T1 ANSP'!M12+SUM('T1 ANSP'!M14:M17)),$D$86)</f>
        <v>805055.37899999996</v>
      </c>
      <c r="M88" s="672">
        <f>ROUND(('T1 ANSP'!N12+SUM('T1 ANSP'!N14:N17)),$D$86)</f>
        <v>401120.76</v>
      </c>
      <c r="N88" s="672">
        <f>ROUND(('T1 ANSP'!O12+SUM('T1 ANSP'!O14:O17)),$D$86)</f>
        <v>422638.00099999999</v>
      </c>
      <c r="O88" s="672">
        <f>ROUND(('T1 ANSP'!P12+SUM('T1 ANSP'!P14:P17)),$D$86)</f>
        <v>438276.761</v>
      </c>
      <c r="P88" s="16"/>
      <c r="Q88" s="672">
        <f>ROUND(('T1 ANSP'!R12+SUM('T1 ANSP'!R14:R17)),$D$86)</f>
        <v>401829.68300000002</v>
      </c>
      <c r="R88" s="16"/>
      <c r="S88" s="16"/>
      <c r="T88" s="16"/>
      <c r="U88" s="16"/>
      <c r="V88" s="16"/>
    </row>
    <row r="89" spans="1:26" s="38" customFormat="1" ht="15" customHeight="1">
      <c r="A89" s="52" t="s">
        <v>25</v>
      </c>
      <c r="B89" s="34" t="s">
        <v>26</v>
      </c>
      <c r="C89" s="35" t="s">
        <v>27</v>
      </c>
      <c r="D89" s="53">
        <v>3</v>
      </c>
      <c r="E89" s="37" t="b">
        <f>ROUND('T1 ANSP'!F31,$D$89)=ROUND(SUM('T1 ANSP'!F22:F30),$D$89)</f>
        <v>1</v>
      </c>
      <c r="F89" s="37" t="b">
        <f>ROUND('T1 ANSP'!G31,$D$89)=ROUND(SUM('T1 ANSP'!G22:G30),$D$89)</f>
        <v>1</v>
      </c>
      <c r="G89" s="37" t="b">
        <f>ROUND('T1 ANSP'!H31,$D$89)=ROUND(SUM('T1 ANSP'!H22:H30),$D$89)</f>
        <v>1</v>
      </c>
      <c r="H89" s="37" t="b">
        <f>ROUND('T1 ANSP'!I31,$D$89)=ROUND(SUM('T1 ANSP'!I22:I30),$D$89)</f>
        <v>1</v>
      </c>
      <c r="I89" s="37" t="b">
        <f>ROUND('T1 ANSP'!J31,$D$89)=ROUND(SUM('T1 ANSP'!J22:J30),$D$89)</f>
        <v>1</v>
      </c>
      <c r="J89" s="37" t="b">
        <f>ROUND('T1 ANSP'!K31,$D$89)=ROUND(SUM('T1 ANSP'!K22:K30),$D$89)</f>
        <v>1</v>
      </c>
      <c r="K89" s="37" t="b">
        <f>ROUND('T1 ANSP'!L31,$D$89)=ROUND(SUM('T1 ANSP'!L22:L30),$D$89)</f>
        <v>1</v>
      </c>
      <c r="L89" s="37" t="b">
        <f>ROUND('T1 ANSP'!M31,$D$89)=ROUND(SUM('T1 ANSP'!M22:M30),$D$89)</f>
        <v>1</v>
      </c>
      <c r="M89" s="37" t="b">
        <f>ROUND('T1 ANSP'!N31,$D$89)=ROUND(SUM('T1 ANSP'!N22:N30),$D$89)</f>
        <v>1</v>
      </c>
      <c r="N89" s="37" t="b">
        <f>ROUND('T1 ANSP'!O31,$D$89)=ROUND(SUM('T1 ANSP'!O22:O30),$D$89)</f>
        <v>1</v>
      </c>
      <c r="O89" s="37" t="b">
        <f>ROUND('T1 ANSP'!P31,$D$89)=ROUND(SUM('T1 ANSP'!P22:P30),$D$89)</f>
        <v>1</v>
      </c>
      <c r="P89" s="16"/>
      <c r="Q89" s="37" t="b">
        <f>ROUND('T1 ANSP'!R31,$D$89)=ROUND(SUM('T1 ANSP'!R22:R30),$D$89)</f>
        <v>1</v>
      </c>
      <c r="R89" s="16"/>
      <c r="S89" s="16"/>
      <c r="T89" s="16"/>
      <c r="U89" s="16"/>
      <c r="V89" s="16"/>
    </row>
    <row r="90" spans="1:26" s="44" customFormat="1" ht="15" customHeight="1" outlineLevel="1">
      <c r="A90" s="54"/>
      <c r="B90" s="40"/>
      <c r="C90" s="41" t="s">
        <v>533</v>
      </c>
      <c r="D90" s="45"/>
      <c r="E90" s="672">
        <f>ROUND('T1 ANSP'!F31,$D$89)</f>
        <v>447371.386</v>
      </c>
      <c r="F90" s="672">
        <f>ROUND('T1 ANSP'!G31,$D$89)</f>
        <v>456391.772</v>
      </c>
      <c r="G90" s="672">
        <f>ROUND('T1 ANSP'!H31,$D$89)</f>
        <v>454876.14600000001</v>
      </c>
      <c r="H90" s="672">
        <f>ROUND('T1 ANSP'!I31,$D$89)</f>
        <v>472725.60499999998</v>
      </c>
      <c r="I90" s="672">
        <f>ROUND('T1 ANSP'!J31,$D$89)</f>
        <v>462126.55300000001</v>
      </c>
      <c r="J90" s="672">
        <f>ROUND('T1 ANSP'!K31,$D$89)</f>
        <v>401829.68300000002</v>
      </c>
      <c r="K90" s="672">
        <f>ROUND('T1 ANSP'!L31,$D$89)</f>
        <v>403225.696</v>
      </c>
      <c r="L90" s="672">
        <f>ROUND('T1 ANSP'!M31,$D$89)</f>
        <v>805055.37899999996</v>
      </c>
      <c r="M90" s="672">
        <f>ROUND('T1 ANSP'!N31,$D$89)</f>
        <v>401120.76</v>
      </c>
      <c r="N90" s="672">
        <f>ROUND('T1 ANSP'!O31,$D$89)</f>
        <v>422638.00099999999</v>
      </c>
      <c r="O90" s="672">
        <f>ROUND('T1 ANSP'!P31,$D$89)</f>
        <v>438276.761</v>
      </c>
      <c r="P90" s="16"/>
      <c r="Q90" s="672">
        <f>ROUND('T1 ANSP'!R31,$D$89)</f>
        <v>401829.68300000002</v>
      </c>
      <c r="R90" s="16"/>
      <c r="S90" s="16"/>
      <c r="T90" s="16"/>
      <c r="U90" s="16"/>
      <c r="V90" s="16"/>
    </row>
    <row r="91" spans="1:26" s="44" customFormat="1" ht="15" customHeight="1" outlineLevel="1">
      <c r="A91" s="54"/>
      <c r="B91" s="40"/>
      <c r="C91" s="41" t="s">
        <v>534</v>
      </c>
      <c r="D91" s="45"/>
      <c r="E91" s="672">
        <f>ROUND(SUM('T1 ANSP'!F22:F30),$D$89)</f>
        <v>447371.386</v>
      </c>
      <c r="F91" s="672">
        <f>ROUND(SUM('T1 ANSP'!G22:G30),$D$89)</f>
        <v>456391.772</v>
      </c>
      <c r="G91" s="672">
        <f>ROUND(SUM('T1 ANSP'!H22:H30),$D$89)</f>
        <v>454876.14600000001</v>
      </c>
      <c r="H91" s="672">
        <f>ROUND(SUM('T1 ANSP'!I22:I30),$D$89)</f>
        <v>472725.60499999998</v>
      </c>
      <c r="I91" s="672">
        <f>ROUND(SUM('T1 ANSP'!J22:J30),$D$89)</f>
        <v>462126.55300000001</v>
      </c>
      <c r="J91" s="672">
        <f>ROUND(SUM('T1 ANSP'!K22:K30),$D$89)</f>
        <v>401829.68300000002</v>
      </c>
      <c r="K91" s="672">
        <f>ROUND(SUM('T1 ANSP'!L22:L30),$D$89)</f>
        <v>403225.696</v>
      </c>
      <c r="L91" s="672">
        <f>ROUND(SUM('T1 ANSP'!M22:M30),$D$89)</f>
        <v>805055.37899999996</v>
      </c>
      <c r="M91" s="672">
        <f>ROUND(SUM('T1 ANSP'!N22:N30),$D$89)</f>
        <v>401120.76</v>
      </c>
      <c r="N91" s="672">
        <f>ROUND(SUM('T1 ANSP'!O22:O30),$D$89)</f>
        <v>422638.00099999999</v>
      </c>
      <c r="O91" s="672">
        <f>ROUND(SUM('T1 ANSP'!P22:P30),$D$89)</f>
        <v>438276.761</v>
      </c>
      <c r="P91" s="16"/>
      <c r="Q91" s="672">
        <f>ROUND(SUM('T1 ANSP'!R22:R30),$D$89)</f>
        <v>401829.68300000002</v>
      </c>
      <c r="R91" s="16"/>
      <c r="S91" s="16"/>
      <c r="T91" s="16"/>
      <c r="U91" s="16"/>
      <c r="V91" s="16"/>
    </row>
    <row r="92" spans="1:26" s="38" customFormat="1" ht="15" customHeight="1">
      <c r="A92" s="56" t="s">
        <v>30</v>
      </c>
      <c r="B92" s="34" t="s">
        <v>49</v>
      </c>
      <c r="C92" s="35" t="s">
        <v>31</v>
      </c>
      <c r="D92" s="53">
        <v>3</v>
      </c>
      <c r="E92" s="37" t="b">
        <f>ROUND('T1 ANSP'!F18,$D$92)=ROUND('T1 ANSP'!F31,$D$92)</f>
        <v>1</v>
      </c>
      <c r="F92" s="37" t="b">
        <f>ROUND('T1 ANSP'!G18,$D$92)=ROUND('T1 ANSP'!G31,$D$92)</f>
        <v>1</v>
      </c>
      <c r="G92" s="37" t="b">
        <f>ROUND('T1 ANSP'!H18,$D$92)=ROUND('T1 ANSP'!H31,$D$92)</f>
        <v>1</v>
      </c>
      <c r="H92" s="37" t="b">
        <f>ROUND('T1 ANSP'!I18,$D$92)=ROUND('T1 ANSP'!I31,$D$92)</f>
        <v>1</v>
      </c>
      <c r="I92" s="37" t="b">
        <f>ROUND('T1 ANSP'!J18,$D$92)=ROUND('T1 ANSP'!J31,$D$92)</f>
        <v>1</v>
      </c>
      <c r="J92" s="37" t="b">
        <f>ROUND('T1 ANSP'!K18,$D$92)=ROUND('T1 ANSP'!K31,$D$92)</f>
        <v>1</v>
      </c>
      <c r="K92" s="37" t="b">
        <f>ROUND('T1 ANSP'!L18,$D$92)=ROUND('T1 ANSP'!L31,$D$92)</f>
        <v>1</v>
      </c>
      <c r="L92" s="37" t="b">
        <f>ROUND('T1 ANSP'!M18,$D$92)=ROUND('T1 ANSP'!M31,$D$92)</f>
        <v>1</v>
      </c>
      <c r="M92" s="37" t="b">
        <f>ROUND('T1 ANSP'!N18,$D$92)=ROUND('T1 ANSP'!N31,$D$92)</f>
        <v>1</v>
      </c>
      <c r="N92" s="37" t="b">
        <f>ROUND('T1 ANSP'!O18,$D$92)=ROUND('T1 ANSP'!O31,$D$92)</f>
        <v>1</v>
      </c>
      <c r="O92" s="37" t="b">
        <f>ROUND('T1 ANSP'!P18,$D$92)=ROUND('T1 ANSP'!P31,$D$92)</f>
        <v>1</v>
      </c>
      <c r="P92" s="16"/>
      <c r="Q92" s="37" t="b">
        <f>ROUND('T1 ANSP'!R18,$D$92)=ROUND('T1 ANSP'!R31,$D$92)</f>
        <v>1</v>
      </c>
      <c r="R92" s="16"/>
      <c r="S92" s="16"/>
      <c r="T92" s="16"/>
      <c r="U92" s="16"/>
      <c r="V92" s="16"/>
    </row>
    <row r="93" spans="1:26" s="44" customFormat="1" ht="15" customHeight="1" outlineLevel="1">
      <c r="A93" s="57"/>
      <c r="B93" s="40"/>
      <c r="C93" s="41" t="s">
        <v>531</v>
      </c>
      <c r="D93" s="45"/>
      <c r="E93" s="672">
        <f>ROUND('T1 ANSP'!F18,$D$92)</f>
        <v>447371.386</v>
      </c>
      <c r="F93" s="672">
        <f>ROUND('T1 ANSP'!G18,$D$92)</f>
        <v>456391.772</v>
      </c>
      <c r="G93" s="672">
        <f>ROUND('T1 ANSP'!H18,$D$92)</f>
        <v>454876.14600000001</v>
      </c>
      <c r="H93" s="672">
        <f>ROUND('T1 ANSP'!I18,$D$92)</f>
        <v>472725.60499999998</v>
      </c>
      <c r="I93" s="672">
        <f>ROUND('T1 ANSP'!J18,$D$92)</f>
        <v>462126.55300000001</v>
      </c>
      <c r="J93" s="672">
        <f>ROUND('T1 ANSP'!K18,$D$92)</f>
        <v>401829.68300000002</v>
      </c>
      <c r="K93" s="672">
        <f>ROUND('T1 ANSP'!L18,$D$92)</f>
        <v>403225.696</v>
      </c>
      <c r="L93" s="672">
        <f>ROUND('T1 ANSP'!M18,$D$92)</f>
        <v>805055.37899999996</v>
      </c>
      <c r="M93" s="672">
        <f>ROUND('T1 ANSP'!N18,$D$92)</f>
        <v>401120.76</v>
      </c>
      <c r="N93" s="672">
        <f>ROUND('T1 ANSP'!O18,$D$92)</f>
        <v>422638.00099999999</v>
      </c>
      <c r="O93" s="672">
        <f>ROUND('T1 ANSP'!P18,$D$92)</f>
        <v>438276.761</v>
      </c>
      <c r="P93" s="16"/>
      <c r="Q93" s="672">
        <f>ROUND('T1 ANSP'!R18,$D$92)</f>
        <v>401829.68300000002</v>
      </c>
      <c r="R93" s="16"/>
      <c r="S93" s="16"/>
      <c r="T93" s="16"/>
      <c r="U93" s="16"/>
      <c r="V93" s="16"/>
    </row>
    <row r="94" spans="1:26" s="44" customFormat="1" ht="15" customHeight="1" outlineLevel="1">
      <c r="A94" s="57"/>
      <c r="B94" s="40"/>
      <c r="C94" s="41" t="s">
        <v>533</v>
      </c>
      <c r="D94" s="45"/>
      <c r="E94" s="672">
        <f>ROUND('T1 ANSP'!F31,$D$92)</f>
        <v>447371.386</v>
      </c>
      <c r="F94" s="672">
        <f>ROUND('T1 ANSP'!G31,$D$92)</f>
        <v>456391.772</v>
      </c>
      <c r="G94" s="672">
        <f>ROUND('T1 ANSP'!H31,$D$92)</f>
        <v>454876.14600000001</v>
      </c>
      <c r="H94" s="672">
        <f>ROUND('T1 ANSP'!I31,$D$92)</f>
        <v>472725.60499999998</v>
      </c>
      <c r="I94" s="672">
        <f>ROUND('T1 ANSP'!J31,$D$92)</f>
        <v>462126.55300000001</v>
      </c>
      <c r="J94" s="672">
        <f>ROUND('T1 ANSP'!K31,$D$92)</f>
        <v>401829.68300000002</v>
      </c>
      <c r="K94" s="672">
        <f>ROUND('T1 ANSP'!L31,$D$92)</f>
        <v>403225.696</v>
      </c>
      <c r="L94" s="672">
        <f>ROUND('T1 ANSP'!M31,$D$92)</f>
        <v>805055.37899999996</v>
      </c>
      <c r="M94" s="672">
        <f>ROUND('T1 ANSP'!N31,$D$92)</f>
        <v>401120.76</v>
      </c>
      <c r="N94" s="672">
        <f>ROUND('T1 ANSP'!O31,$D$92)</f>
        <v>422638.00099999999</v>
      </c>
      <c r="O94" s="672">
        <f>ROUND('T1 ANSP'!P31,$D$92)</f>
        <v>438276.761</v>
      </c>
      <c r="P94" s="16"/>
      <c r="Q94" s="672">
        <f>ROUND('T1 ANSP'!R31,$D$92)</f>
        <v>401829.68300000002</v>
      </c>
      <c r="R94" s="16"/>
      <c r="S94" s="16"/>
      <c r="T94" s="16"/>
      <c r="U94" s="16"/>
      <c r="V94" s="16"/>
    </row>
    <row r="95" spans="1:26" s="38" customFormat="1" ht="15" customHeight="1">
      <c r="A95" s="33" t="s">
        <v>493</v>
      </c>
      <c r="B95" s="673" t="s">
        <v>362</v>
      </c>
      <c r="C95" s="704" t="s">
        <v>494</v>
      </c>
      <c r="D95" s="675">
        <v>3</v>
      </c>
      <c r="J95" s="37" t="b">
        <f>ROUND('T1 ANSP'!K13,$D$95)&gt;0</f>
        <v>1</v>
      </c>
      <c r="K95" s="37" t="b">
        <f>ROUND('T1 ANSP'!L13,$D$95)&gt;0</f>
        <v>1</v>
      </c>
      <c r="L95" s="37" t="b">
        <f>ROUND('T1 ANSP'!M13,$D$95)&gt;0</f>
        <v>1</v>
      </c>
      <c r="M95" s="37" t="b">
        <f>ROUND('T1 ANSP'!N13,$D$95)&gt;0</f>
        <v>1</v>
      </c>
      <c r="N95" s="37" t="b">
        <f>ROUND('T1 ANSP'!O13,$D$95)&gt;0</f>
        <v>1</v>
      </c>
      <c r="O95" s="37" t="b">
        <f>ROUND('T1 ANSP'!P13,$D$95)&gt;0</f>
        <v>1</v>
      </c>
      <c r="P95" s="16"/>
      <c r="Q95" s="37" t="b">
        <f>ROUND('T1 ANSP'!R13,$D$95)&gt;0</f>
        <v>1</v>
      </c>
      <c r="R95" s="16"/>
      <c r="S95" s="16"/>
      <c r="T95" s="16"/>
      <c r="U95" s="16"/>
      <c r="V95" s="16"/>
    </row>
    <row r="96" spans="1:26" s="44" customFormat="1" ht="15" customHeight="1" outlineLevel="1">
      <c r="A96" s="46"/>
      <c r="B96" s="676"/>
      <c r="C96" s="677" t="s">
        <v>535</v>
      </c>
      <c r="D96" s="678"/>
      <c r="J96" s="672">
        <f>ROUND('T1 ANSP'!K13,$D$95)</f>
        <v>70988.178</v>
      </c>
      <c r="K96" s="672">
        <f>ROUND('T1 ANSP'!L13,$D$95)</f>
        <v>68501.226999999999</v>
      </c>
      <c r="L96" s="672">
        <f>ROUND('T1 ANSP'!M13,$D$95)</f>
        <v>139489.405</v>
      </c>
      <c r="M96" s="672">
        <f>ROUND('T1 ANSP'!N13,$D$95)</f>
        <v>70349.767999999996</v>
      </c>
      <c r="N96" s="672">
        <f>ROUND('T1 ANSP'!O13,$D$95)</f>
        <v>71965.743000000002</v>
      </c>
      <c r="O96" s="672">
        <f>ROUND('T1 ANSP'!P13,$D$95)</f>
        <v>73532.292000000001</v>
      </c>
      <c r="P96" s="16"/>
      <c r="Q96" s="672">
        <f>ROUND('T1 ANSP'!R13,$D$95)</f>
        <v>70988.178</v>
      </c>
      <c r="R96" s="16"/>
      <c r="S96" s="16"/>
      <c r="T96" s="16"/>
      <c r="U96" s="16"/>
      <c r="V96" s="16"/>
      <c r="W96" s="38"/>
      <c r="X96" s="38"/>
      <c r="Y96" s="38"/>
      <c r="Z96" s="38"/>
    </row>
    <row r="97" spans="1:18" s="38" customFormat="1" ht="15" customHeight="1">
      <c r="A97" s="52" t="s">
        <v>36</v>
      </c>
      <c r="B97" s="34" t="s">
        <v>37</v>
      </c>
      <c r="C97" s="35" t="s">
        <v>38</v>
      </c>
      <c r="D97" s="36">
        <v>2</v>
      </c>
      <c r="E97" s="37" t="b">
        <f>ROUND('T1 ANSP'!G65/(1+'T1'!G64),$D$97)=ROUND('T1 ANSP'!F65,$D$97)</f>
        <v>1</v>
      </c>
      <c r="F97" s="37" t="b">
        <f>ROUND('T1 ANSP'!F65*(1+'T1'!G64),$D$97)=ROUND('T1 ANSP'!G65,$D$97)</f>
        <v>1</v>
      </c>
      <c r="G97" s="37" t="b">
        <f>ROUND('T1 ANSP'!G65*(1+'T1'!H64),$D$97)=ROUND('T1 ANSP'!H65,$D$97)</f>
        <v>1</v>
      </c>
      <c r="H97" s="37" t="b">
        <f>ROUND('T1 ANSP'!H65*(1+'T1'!I64),$D$97)=ROUND('T1 ANSP'!I65,$D$97)</f>
        <v>1</v>
      </c>
      <c r="I97" s="37" t="b">
        <f>ROUND('T1 ANSP'!I65*(1+'T1'!J64),$D$97)=ROUND('T1 ANSP'!J65,$D$97)</f>
        <v>1</v>
      </c>
      <c r="J97" s="37" t="b">
        <f>ROUND('T1 ANSP'!J65*(1+'T1'!K64),$D$97)=ROUND('T1 ANSP'!K65,$D$97)</f>
        <v>1</v>
      </c>
      <c r="K97" s="37" t="b">
        <f>ROUND('T1 ANSP'!K65*(1+'T1'!L64),$D$97)=ROUND('T1 ANSP'!L65,$D$97)</f>
        <v>1</v>
      </c>
      <c r="M97" s="37" t="b">
        <f>ROUND('T1 ANSP'!L65*(1+'T1'!N64),$D$97)=ROUND('T1 ANSP'!N65,$D$97)</f>
        <v>1</v>
      </c>
      <c r="N97" s="37" t="b">
        <f>ROUND('T1 ANSP'!N65*(1+'T1'!O64),$D$97)=ROUND('T1 ANSP'!O65,$D$97)</f>
        <v>1</v>
      </c>
      <c r="O97" s="37" t="b">
        <f>ROUND('T1 ANSP'!O65*(1+'T1'!P64),$D$97)=ROUND('T1 ANSP'!P65,$D$97)</f>
        <v>1</v>
      </c>
      <c r="P97" s="16"/>
      <c r="Q97" s="37" t="b">
        <f>ROUND('T1 ANSP'!J65*(1+'T1'!R64),$D$97)=ROUND('T1 ANSP'!R65,$D$97)</f>
        <v>1</v>
      </c>
      <c r="R97" s="16"/>
    </row>
    <row r="98" spans="1:18" s="44" customFormat="1" ht="15" customHeight="1" outlineLevel="1">
      <c r="A98" s="54"/>
      <c r="B98" s="40"/>
      <c r="C98" s="41" t="s">
        <v>39</v>
      </c>
      <c r="D98" s="45"/>
      <c r="E98" s="48">
        <f>ROUND('T1 ANSP'!G65/(1+'T1'!G64),$D$97)</f>
        <v>94.45</v>
      </c>
      <c r="F98" s="48">
        <f>ROUND('T1 ANSP'!F65*(1+'T1'!G64),$D$97)</f>
        <v>98.14</v>
      </c>
      <c r="G98" s="48">
        <f>ROUND('T1 ANSP'!G65*(1+'T1'!H64),$D$97)</f>
        <v>100</v>
      </c>
      <c r="H98" s="48">
        <f>ROUND('T1 ANSP'!H65*(1+'T1'!I64),$D$97)</f>
        <v>103</v>
      </c>
      <c r="I98" s="48">
        <f>ROUND('T1 ANSP'!I65*(1+'T1'!J64),$D$97)</f>
        <v>105.37</v>
      </c>
      <c r="J98" s="48">
        <f>ROUND('T1 ANSP'!J65*(1+'T1'!K64),$D$97)</f>
        <v>106.63</v>
      </c>
      <c r="K98" s="48">
        <f>ROUND('T1 ANSP'!K65*(1+'T1'!L64),$D$97)</f>
        <v>108.98</v>
      </c>
      <c r="M98" s="48">
        <f>ROUND('T1 ANSP'!L65*(1+'T1'!N64),$D$97)</f>
        <v>111.16</v>
      </c>
      <c r="N98" s="48">
        <f>ROUND('T1 ANSP'!N65*(1+'T1'!O64),$D$97)</f>
        <v>113.38</v>
      </c>
      <c r="O98" s="48">
        <f>ROUND('T1 ANSP'!O65*(1+'T1'!P64),$D$97)</f>
        <v>115.65</v>
      </c>
      <c r="P98" s="16"/>
      <c r="Q98" s="48">
        <f>ROUND('T1 ANSP'!J65*(1+'T1'!R64),$D$97)</f>
        <v>106.63</v>
      </c>
      <c r="R98" s="16"/>
    </row>
    <row r="99" spans="1:18" s="44" customFormat="1" ht="15" customHeight="1" outlineLevel="1">
      <c r="A99" s="54"/>
      <c r="B99" s="40"/>
      <c r="C99" s="41" t="s">
        <v>40</v>
      </c>
      <c r="D99" s="45"/>
      <c r="E99" s="48">
        <f>ROUND('T1 ANSP'!F65,$D$97)</f>
        <v>94.45</v>
      </c>
      <c r="F99" s="48">
        <f>ROUND('T1 ANSP'!G65,$D$97)</f>
        <v>98.14</v>
      </c>
      <c r="G99" s="48">
        <f>ROUND('T1 ANSP'!H65,$D$97)</f>
        <v>100</v>
      </c>
      <c r="H99" s="48">
        <f>ROUND('T1 ANSP'!I65,$D$97)</f>
        <v>103</v>
      </c>
      <c r="I99" s="48">
        <f>ROUND('T1 ANSP'!J65,$D$97)</f>
        <v>105.37</v>
      </c>
      <c r="J99" s="48">
        <f>ROUND('T1 ANSP'!K65,$D$97)</f>
        <v>106.63</v>
      </c>
      <c r="K99" s="48">
        <f>ROUND('T1 ANSP'!L65,$D$97)</f>
        <v>108.98</v>
      </c>
      <c r="M99" s="48">
        <f>ROUND('T1 ANSP'!N65,$D$97)</f>
        <v>111.16</v>
      </c>
      <c r="N99" s="48">
        <f>ROUND('T1 ANSP'!O65,$D$97)</f>
        <v>113.38</v>
      </c>
      <c r="O99" s="48">
        <f>ROUND('T1 ANSP'!P65,$D$97)</f>
        <v>115.65</v>
      </c>
      <c r="P99" s="16"/>
      <c r="Q99" s="48">
        <f>ROUND('T1 ANSP'!R65,$D$97)</f>
        <v>106.63</v>
      </c>
      <c r="R99" s="16"/>
    </row>
    <row r="100" spans="1:18" s="38" customFormat="1" ht="15" customHeight="1">
      <c r="A100" s="52" t="s">
        <v>50</v>
      </c>
      <c r="B100" s="34" t="s">
        <v>51</v>
      </c>
      <c r="C100" s="35" t="s">
        <v>52</v>
      </c>
      <c r="D100" s="36">
        <v>3</v>
      </c>
      <c r="E100" s="37" t="b">
        <f>ROUND(((('T1 ANSP'!F61-'T1 ANSP'!F15-'T1 ANSP'!F16)/('T1 ANSP'!F65/100))+('T1 ANSP'!F15+'T1 ANSP'!F16)),$D$100)=ROUND('T1 ANSP'!F66,$D$100)</f>
        <v>1</v>
      </c>
      <c r="F100" s="37" t="b">
        <f>ROUND(((('T1 ANSP'!G61-'T1 ANSP'!G15-'T1 ANSP'!G16)/('T1 ANSP'!G65/100))+('T1 ANSP'!G15+'T1 ANSP'!G16)),$D$100)=ROUND('T1 ANSP'!G66,$D$100)</f>
        <v>1</v>
      </c>
      <c r="G100" s="37" t="b">
        <f>ROUND(((('T1 ANSP'!H61-'T1 ANSP'!H15-'T1 ANSP'!H16)/('T1 ANSP'!H65/100))+('T1 ANSP'!H15+'T1 ANSP'!H16)),$D$100)=ROUND('T1 ANSP'!H66,$D$100)</f>
        <v>1</v>
      </c>
      <c r="H100" s="37" t="b">
        <f>ROUND(((('T1 ANSP'!I61-'T1 ANSP'!I15-'T1 ANSP'!I16)/('T1 ANSP'!I65/100))+('T1 ANSP'!I15+'T1 ANSP'!I16)),$D$100)=ROUND('T1 ANSP'!I66,$D$100)</f>
        <v>1</v>
      </c>
      <c r="I100" s="37" t="b">
        <f>ROUND(((('T1 ANSP'!J61-'T1 ANSP'!J15-'T1 ANSP'!J16)/('T1 ANSP'!J65/100))+('T1 ANSP'!J15+'T1 ANSP'!J16)),$D$100)=ROUND('T1 ANSP'!J66,$D$100)</f>
        <v>1</v>
      </c>
      <c r="J100" s="37" t="b">
        <f>ROUND(((('T1 ANSP'!K61-'T1 ANSP'!K15-'T1 ANSP'!K16)/('T1 ANSP'!K65/100))+('T1 ANSP'!K15+'T1 ANSP'!K16)),$D$100)=ROUND('T1 ANSP'!K66,$D$100)</f>
        <v>1</v>
      </c>
      <c r="K100" s="37" t="b">
        <f>ROUND(((('T1 ANSP'!L61-'T1 ANSP'!L15-'T1 ANSP'!L16)/('T1 ANSP'!L65/100))+('T1 ANSP'!L15+'T1 ANSP'!L16)),$D$100)=ROUND('T1 ANSP'!L66,$D$100)</f>
        <v>1</v>
      </c>
      <c r="L100" s="37" t="b">
        <f>ROUND('T1 ANSP'!K66+'T1 ANSP'!L66,$D$100)=ROUND('T1 ANSP'!M66,$D$100)</f>
        <v>1</v>
      </c>
      <c r="M100" s="37" t="b">
        <f>ROUND(((('T1 ANSP'!N61-'T1 ANSP'!N15-'T1 ANSP'!N16)/('T1 ANSP'!N65/100))+('T1 ANSP'!N15+'T1 ANSP'!N16)),$D$100)=ROUND('T1 ANSP'!N66,$D$100)</f>
        <v>1</v>
      </c>
      <c r="N100" s="37" t="b">
        <f>ROUND(((('T1 ANSP'!O61-'T1 ANSP'!O15-'T1 ANSP'!O16)/('T1 ANSP'!O65/100))+('T1 ANSP'!O15+'T1 ANSP'!O16)),$D$100)=ROUND('T1 ANSP'!O66,$D$100)</f>
        <v>1</v>
      </c>
      <c r="O100" s="37" t="b">
        <f>ROUND(((('T1 ANSP'!P61-'T1 ANSP'!P15-'T1 ANSP'!P16)/('T1 ANSP'!P65/100))+('T1 ANSP'!P15+'T1 ANSP'!P16)),$D$100)=ROUND('T1 ANSP'!P66,$D$100)</f>
        <v>1</v>
      </c>
      <c r="P100" s="16"/>
      <c r="Q100" s="37" t="b">
        <f>ROUND(((('T1 ANSP'!R61-'T1 ANSP'!R15-'T1 ANSP'!R16)/('T1 ANSP'!R65/100))+('T1 ANSP'!R15+'T1 ANSP'!R16)),$D$100)=ROUND('T1 ANSP'!R66,$D$100)</f>
        <v>1</v>
      </c>
      <c r="R100" s="16"/>
    </row>
    <row r="101" spans="1:18" s="44" customFormat="1" ht="15" customHeight="1" outlineLevel="1">
      <c r="A101" s="54"/>
      <c r="B101" s="40"/>
      <c r="C101" s="41" t="s">
        <v>530</v>
      </c>
      <c r="D101" s="45"/>
      <c r="E101" s="672">
        <f>ROUND(((('T1 ANSP'!F61-'T1 ANSP'!F15-'T1 ANSP'!F16)/('T1 ANSP'!F65/100))+('T1 ANSP'!F15+'T1 ANSP'!F16)),$D$100)</f>
        <v>470406.36800000002</v>
      </c>
      <c r="F101" s="672">
        <f>ROUND(((('T1 ANSP'!G61-'T1 ANSP'!G15-'T1 ANSP'!G16)/('T1 ANSP'!G65/100))+('T1 ANSP'!G15+'T1 ANSP'!G16)),$D$100)</f>
        <v>462499.679</v>
      </c>
      <c r="G101" s="672">
        <f>ROUND(((('T1 ANSP'!H61-'T1 ANSP'!H15-'T1 ANSP'!H16)/('T1 ANSP'!H65/100))+('T1 ANSP'!H15+'T1 ANSP'!H16)),$D$100)</f>
        <v>453738.95600000001</v>
      </c>
      <c r="H101" s="672">
        <f>ROUND(((('T1 ANSP'!I61-'T1 ANSP'!I15-'T1 ANSP'!I16)/('T1 ANSP'!I65/100))+('T1 ANSP'!I15+'T1 ANSP'!I16)),$D$100)</f>
        <v>460309.853</v>
      </c>
      <c r="I101" s="672">
        <f>ROUND(((('T1 ANSP'!J61-'T1 ANSP'!J15-'T1 ANSP'!J16)/('T1 ANSP'!J65/100))+('T1 ANSP'!J15+'T1 ANSP'!J16)),$D$100)</f>
        <v>440451.89</v>
      </c>
      <c r="J101" s="672">
        <f>ROUND(((('T1 ANSP'!K61-'T1 ANSP'!K15-'T1 ANSP'!K16)/('T1 ANSP'!K65/100))+('T1 ANSP'!K15+'T1 ANSP'!K16)),$D$100)</f>
        <v>380248.10800000001</v>
      </c>
      <c r="K101" s="672">
        <f>ROUND(((('T1 ANSP'!L61-'T1 ANSP'!L15-'T1 ANSP'!L16)/('T1 ANSP'!L65/100))+('T1 ANSP'!L15+'T1 ANSP'!L16)),$D$100)</f>
        <v>374709.23499999999</v>
      </c>
      <c r="L101" s="672">
        <f>ROUND('T1 ANSP'!K66+'T1 ANSP'!L66,$D$100)</f>
        <v>754957.34299999999</v>
      </c>
      <c r="M101" s="672">
        <f>ROUND(((('T1 ANSP'!N61-'T1 ANSP'!N15-'T1 ANSP'!N16)/('T1 ANSP'!N65/100))+('T1 ANSP'!N15+'T1 ANSP'!N16)),$D$100)</f>
        <v>366682.16600000003</v>
      </c>
      <c r="N101" s="672">
        <f>ROUND(((('T1 ANSP'!O61-'T1 ANSP'!O15-'T1 ANSP'!O16)/('T1 ANSP'!O65/100))+('T1 ANSP'!O15+'T1 ANSP'!O16)),$D$100)</f>
        <v>380477.48499999999</v>
      </c>
      <c r="O101" s="672">
        <f>ROUND(((('T1 ANSP'!P61-'T1 ANSP'!P15-'T1 ANSP'!P16)/('T1 ANSP'!P65/100))+('T1 ANSP'!P15+'T1 ANSP'!P16)),$D$100)</f>
        <v>388551.49400000001</v>
      </c>
      <c r="P101" s="16"/>
      <c r="Q101" s="672">
        <f>ROUND(((('T1 ANSP'!R61-'T1 ANSP'!R15-'T1 ANSP'!R16)/('T1 ANSP'!R65/100))+('T1 ANSP'!R15+'T1 ANSP'!R16)),$D$100)</f>
        <v>380248.10800000001</v>
      </c>
    </row>
    <row r="102" spans="1:18" s="44" customFormat="1" ht="15" customHeight="1" outlineLevel="1">
      <c r="A102" s="54"/>
      <c r="B102" s="40"/>
      <c r="C102" s="41" t="s">
        <v>54</v>
      </c>
      <c r="D102" s="45"/>
      <c r="E102" s="672">
        <f>ROUND('T1 ANSP'!F66,$D$100)</f>
        <v>470406.36800000002</v>
      </c>
      <c r="F102" s="672">
        <f>ROUND('T1 ANSP'!G66,$D$100)</f>
        <v>462499.679</v>
      </c>
      <c r="G102" s="672">
        <f>ROUND('T1 ANSP'!H66,$D$100)</f>
        <v>453738.95600000001</v>
      </c>
      <c r="H102" s="672">
        <f>ROUND('T1 ANSP'!I66,$D$100)</f>
        <v>460309.853</v>
      </c>
      <c r="I102" s="672">
        <f>ROUND('T1 ANSP'!J66,$D$100)</f>
        <v>440451.89</v>
      </c>
      <c r="J102" s="672">
        <f>ROUND('T1 ANSP'!K66,$D$100)</f>
        <v>380248.10800000001</v>
      </c>
      <c r="K102" s="672">
        <f>ROUND('T1 ANSP'!L66,$D$100)</f>
        <v>374709.23499999999</v>
      </c>
      <c r="L102" s="672">
        <f>ROUND('T1 ANSP'!M66,$D$100)</f>
        <v>754957.34299999999</v>
      </c>
      <c r="M102" s="672">
        <f>ROUND('T1 ANSP'!N66,$D$100)</f>
        <v>366682.16600000003</v>
      </c>
      <c r="N102" s="672">
        <f>ROUND('T1 ANSP'!O66,$D$100)</f>
        <v>380477.48499999999</v>
      </c>
      <c r="O102" s="672">
        <f>ROUND('T1 ANSP'!P66,$D$100)</f>
        <v>388551.49400000001</v>
      </c>
      <c r="P102" s="16"/>
      <c r="Q102" s="672">
        <f>ROUND('T1 ANSP'!R66,$D$100)</f>
        <v>380248.10800000001</v>
      </c>
    </row>
    <row r="103" spans="1:18" s="38" customFormat="1" ht="15" customHeight="1">
      <c r="A103" s="52" t="s">
        <v>55</v>
      </c>
      <c r="B103" s="34" t="s">
        <v>56</v>
      </c>
      <c r="C103" s="35" t="s">
        <v>57</v>
      </c>
      <c r="D103" s="45"/>
      <c r="E103" s="37" t="b">
        <f>'T1 ANSP'!F68='T1'!F68</f>
        <v>1</v>
      </c>
      <c r="F103" s="37" t="b">
        <f>'T1 ANSP'!G68='T1'!G68</f>
        <v>1</v>
      </c>
      <c r="G103" s="37" t="b">
        <f>'T1 ANSP'!H68='T1'!H68</f>
        <v>1</v>
      </c>
      <c r="H103" s="37" t="b">
        <f>'T1 ANSP'!I68='T1'!I68</f>
        <v>1</v>
      </c>
      <c r="I103" s="37" t="b">
        <f>'T1 ANSP'!J68='T1'!J68</f>
        <v>1</v>
      </c>
      <c r="J103" s="37" t="b">
        <f>'T1 ANSP'!K68='T1'!K68</f>
        <v>1</v>
      </c>
      <c r="K103" s="37" t="b">
        <f>'T1 ANSP'!L68='T1'!L68</f>
        <v>1</v>
      </c>
      <c r="L103" s="37" t="b">
        <f>'T1 ANSP'!M68='T1'!M68</f>
        <v>1</v>
      </c>
      <c r="M103" s="37" t="b">
        <f>'T1 ANSP'!N68='T1'!N68</f>
        <v>1</v>
      </c>
      <c r="N103" s="37" t="b">
        <f>'T1 ANSP'!O68='T1'!O68</f>
        <v>1</v>
      </c>
      <c r="O103" s="37" t="b">
        <f>'T1 ANSP'!P68='T1'!P68</f>
        <v>1</v>
      </c>
      <c r="P103" s="16"/>
      <c r="Q103" s="37" t="b">
        <f>'T1 ANSP'!R68='T1'!R68</f>
        <v>1</v>
      </c>
      <c r="R103" s="44"/>
    </row>
    <row r="104" spans="1:18" s="44" customFormat="1" ht="15" customHeight="1" outlineLevel="1">
      <c r="A104" s="54"/>
      <c r="B104" s="40"/>
      <c r="C104" s="41" t="s">
        <v>536</v>
      </c>
      <c r="D104" s="45"/>
      <c r="E104" s="672">
        <f>'T1 ANSP'!F68</f>
        <v>246.09299999999999</v>
      </c>
      <c r="F104" s="672">
        <f>'T1 ANSP'!G68</f>
        <v>245.18199999999999</v>
      </c>
      <c r="G104" s="672">
        <f>'T1 ANSP'!H68</f>
        <v>249.824836137597</v>
      </c>
      <c r="H104" s="672">
        <f>'T1 ANSP'!I68</f>
        <v>256.3</v>
      </c>
      <c r="I104" s="672">
        <f>'T1 ANSP'!J68</f>
        <v>256.00565702730603</v>
      </c>
      <c r="J104" s="672">
        <f>'T1 ANSP'!K68</f>
        <v>134.32968502803001</v>
      </c>
      <c r="K104" s="672">
        <f>'T1 ANSP'!L68</f>
        <v>139.24003148171201</v>
      </c>
      <c r="L104" s="672">
        <f>'T1 ANSP'!M68</f>
        <v>273.56971650974202</v>
      </c>
      <c r="M104" s="672">
        <f>'T1 ANSP'!N68</f>
        <v>204.80311130053201</v>
      </c>
      <c r="N104" s="672">
        <f>'T1 ANSP'!O68</f>
        <v>240.42251109710699</v>
      </c>
      <c r="O104" s="672">
        <f>'T1 ANSP'!P68</f>
        <v>258.33819951035298</v>
      </c>
      <c r="P104" s="16"/>
      <c r="Q104" s="672">
        <f>'T1 ANSP'!R68</f>
        <v>134.32968502803001</v>
      </c>
    </row>
    <row r="105" spans="1:18" s="44" customFormat="1" ht="15" customHeight="1" outlineLevel="1">
      <c r="A105" s="54"/>
      <c r="B105" s="40"/>
      <c r="C105" s="41" t="s">
        <v>537</v>
      </c>
      <c r="D105" s="45"/>
      <c r="E105" s="672">
        <f>'T1'!F68</f>
        <v>246.09299999999999</v>
      </c>
      <c r="F105" s="672">
        <f>'T1'!G68</f>
        <v>245.18199999999999</v>
      </c>
      <c r="G105" s="672">
        <f>'T1'!H68</f>
        <v>249.824836137597</v>
      </c>
      <c r="H105" s="672">
        <f>'T1'!I68</f>
        <v>256.3</v>
      </c>
      <c r="I105" s="672">
        <f>'T1'!J68</f>
        <v>256.00565702730603</v>
      </c>
      <c r="J105" s="672">
        <f>'T1'!K68</f>
        <v>134.32968502803001</v>
      </c>
      <c r="K105" s="672">
        <f>'T1'!L68</f>
        <v>139.24003148171201</v>
      </c>
      <c r="L105" s="672">
        <f>'T1'!M68</f>
        <v>273.56971650974202</v>
      </c>
      <c r="M105" s="672">
        <f>'T1'!N68</f>
        <v>204.80311130053201</v>
      </c>
      <c r="N105" s="672">
        <f>'T1'!O68</f>
        <v>240.42251109710699</v>
      </c>
      <c r="O105" s="672">
        <f>'T1'!P68</f>
        <v>258.33819951035298</v>
      </c>
      <c r="P105" s="16"/>
      <c r="Q105" s="672">
        <f>'T1'!R68</f>
        <v>134.32968502803001</v>
      </c>
    </row>
    <row r="106" spans="1:18" s="38" customFormat="1" ht="15" customHeight="1">
      <c r="A106" s="52" t="s">
        <v>41</v>
      </c>
      <c r="B106" s="34" t="s">
        <v>42</v>
      </c>
      <c r="C106" s="35" t="s">
        <v>59</v>
      </c>
      <c r="D106" s="36">
        <v>2</v>
      </c>
      <c r="E106" s="37" t="b">
        <f>ROUND(('T1 ANSP'!F66/'T1 ANSP'!F68),$D$106)=ROUND('T1 ANSP'!F70,$D$106)</f>
        <v>1</v>
      </c>
      <c r="F106" s="37" t="b">
        <f>ROUND(('T1 ANSP'!G66/'T1 ANSP'!G68),$D$106)=ROUND('T1 ANSP'!G70,$D$106)</f>
        <v>1</v>
      </c>
      <c r="G106" s="37" t="b">
        <f>ROUND(('T1 ANSP'!H66/'T1 ANSP'!H68),$D$106)=ROUND('T1 ANSP'!H70,$D$106)</f>
        <v>1</v>
      </c>
      <c r="H106" s="37" t="b">
        <f>ROUND(('T1 ANSP'!I66/'T1 ANSP'!I68),$D$106)=ROUND('T1 ANSP'!I70,$D$106)</f>
        <v>1</v>
      </c>
      <c r="I106" s="37" t="b">
        <f>ROUND(('T1 ANSP'!J66/'T1 ANSP'!J68),$D$106)=ROUND('T1 ANSP'!J70,$D$106)</f>
        <v>1</v>
      </c>
      <c r="J106" s="37" t="b">
        <f>ROUND(('T1 ANSP'!K66/'T1 ANSP'!K68),$D$106)=ROUND('T1 ANSP'!K70,$D$106)</f>
        <v>1</v>
      </c>
      <c r="K106" s="37" t="b">
        <f>ROUND(('T1 ANSP'!L66/'T1 ANSP'!L68),$D$106)=ROUND('T1 ANSP'!L70,$D$106)</f>
        <v>1</v>
      </c>
      <c r="L106" s="37" t="b">
        <f>ROUND(('T1 ANSP'!M66/'T1 ANSP'!M68),$D$106)=ROUND('T1 ANSP'!M70,$D$106)</f>
        <v>1</v>
      </c>
      <c r="M106" s="37" t="b">
        <f>ROUND(('T1 ANSP'!N66/'T1 ANSP'!N68),$D$106)=ROUND('T1 ANSP'!N70,$D$106)</f>
        <v>1</v>
      </c>
      <c r="N106" s="37" t="b">
        <f>ROUND(('T1 ANSP'!O66/'T1 ANSP'!O68),$D$106)=ROUND('T1 ANSP'!O70,$D$106)</f>
        <v>1</v>
      </c>
      <c r="O106" s="37" t="b">
        <f>ROUND(('T1 ANSP'!P66/'T1 ANSP'!P68),$D$106)=ROUND('T1 ANSP'!P70,$D$106)</f>
        <v>1</v>
      </c>
      <c r="P106" s="16"/>
      <c r="Q106" s="37" t="b">
        <f>ROUND(('T1 ANSP'!R66/'T1 ANSP'!R68),$D$106)=ROUND('T1 ANSP'!R70,$D$106)</f>
        <v>1</v>
      </c>
      <c r="R106" s="44"/>
    </row>
    <row r="107" spans="1:18" s="44" customFormat="1" ht="15" customHeight="1" outlineLevel="1">
      <c r="A107" s="54"/>
      <c r="B107" s="40"/>
      <c r="C107" s="41" t="s">
        <v>43</v>
      </c>
      <c r="D107" s="45"/>
      <c r="E107" s="48">
        <f>ROUND(('T1 ANSP'!F66/'T1 ANSP'!F68),$D$106)</f>
        <v>1911.5</v>
      </c>
      <c r="F107" s="48">
        <f>ROUND(('T1 ANSP'!G66/'T1 ANSP'!G68),$D$106)</f>
        <v>1886.35</v>
      </c>
      <c r="G107" s="48">
        <f>ROUND(('T1 ANSP'!H66/'T1 ANSP'!H68),$D$106)</f>
        <v>1816.23</v>
      </c>
      <c r="H107" s="48">
        <f>ROUND(('T1 ANSP'!I66/'T1 ANSP'!I68),$D$106)</f>
        <v>1795.98</v>
      </c>
      <c r="I107" s="48">
        <f>ROUND(('T1 ANSP'!J66/'T1 ANSP'!J68),$D$106)</f>
        <v>1720.48</v>
      </c>
      <c r="J107" s="48">
        <f>ROUND(('T1 ANSP'!K66/'T1 ANSP'!K68),$D$106)</f>
        <v>2830.71</v>
      </c>
      <c r="K107" s="48">
        <f>ROUND(('T1 ANSP'!L66/'T1 ANSP'!L68),$D$106)</f>
        <v>2691.1</v>
      </c>
      <c r="L107" s="48">
        <f>ROUND(('T1 ANSP'!M66/'T1 ANSP'!M68),$D$106)</f>
        <v>2759.65</v>
      </c>
      <c r="M107" s="48">
        <f>ROUND(('T1 ANSP'!N66/'T1 ANSP'!N68),$D$106)</f>
        <v>1790.41</v>
      </c>
      <c r="N107" s="48">
        <f>ROUND(('T1 ANSP'!O66/'T1 ANSP'!O68),$D$106)</f>
        <v>1582.54</v>
      </c>
      <c r="O107" s="48">
        <f>ROUND(('T1 ANSP'!P66/'T1 ANSP'!P68),$D$106)</f>
        <v>1504.04</v>
      </c>
      <c r="P107" s="16"/>
      <c r="Q107" s="48">
        <f>ROUND(('T1 ANSP'!R66/'T1 ANSP'!R68),$D$106)</f>
        <v>2830.71</v>
      </c>
    </row>
    <row r="108" spans="1:18" s="44" customFormat="1" ht="15" customHeight="1" outlineLevel="1">
      <c r="A108" s="54"/>
      <c r="B108" s="40"/>
      <c r="C108" s="41" t="s">
        <v>44</v>
      </c>
      <c r="D108" s="45"/>
      <c r="E108" s="48">
        <f>ROUND('T1 ANSP'!F70,$D$106)</f>
        <v>1911.5</v>
      </c>
      <c r="F108" s="48">
        <f>ROUND('T1 ANSP'!G70,$D$106)</f>
        <v>1886.35</v>
      </c>
      <c r="G108" s="48">
        <f>ROUND('T1 ANSP'!H70,$D$106)</f>
        <v>1816.23</v>
      </c>
      <c r="H108" s="48">
        <f>ROUND('T1 ANSP'!I70,$D$106)</f>
        <v>1795.98</v>
      </c>
      <c r="I108" s="48">
        <f>ROUND('T1 ANSP'!J70,$D$106)</f>
        <v>1720.48</v>
      </c>
      <c r="J108" s="48">
        <f>ROUND('T1 ANSP'!K70,$D$106)</f>
        <v>2830.71</v>
      </c>
      <c r="K108" s="48">
        <f>ROUND('T1 ANSP'!L70,$D$106)</f>
        <v>2691.1</v>
      </c>
      <c r="L108" s="48">
        <f>ROUND('T1 ANSP'!M70,$D$106)</f>
        <v>2759.65</v>
      </c>
      <c r="M108" s="48">
        <f>ROUND('T1 ANSP'!N70,$D$106)</f>
        <v>1790.41</v>
      </c>
      <c r="N108" s="48">
        <f>ROUND('T1 ANSP'!O70,$D$106)</f>
        <v>1582.54</v>
      </c>
      <c r="O108" s="48">
        <f>ROUND('T1 ANSP'!P70,$D$106)</f>
        <v>1504.04</v>
      </c>
      <c r="P108" s="16"/>
      <c r="Q108" s="48">
        <f>ROUND('T1 ANSP'!R70,$D$106)</f>
        <v>2830.71</v>
      </c>
    </row>
    <row r="109" spans="1:18" s="38" customFormat="1" ht="15" customHeight="1">
      <c r="A109" s="56" t="s">
        <v>60</v>
      </c>
      <c r="B109" s="34" t="s">
        <v>33</v>
      </c>
      <c r="C109" s="35" t="s">
        <v>61</v>
      </c>
      <c r="D109" s="45"/>
      <c r="E109" s="37" t="b">
        <f>'T1 ANSP'!F64='T1'!F64</f>
        <v>1</v>
      </c>
      <c r="F109" s="37" t="b">
        <f>'T1 ANSP'!G64='T1'!G64</f>
        <v>1</v>
      </c>
      <c r="G109" s="37" t="b">
        <f>'T1 ANSP'!H64='T1'!H64</f>
        <v>1</v>
      </c>
      <c r="H109" s="37" t="b">
        <f>'T1 ANSP'!I64='T1'!I64</f>
        <v>1</v>
      </c>
      <c r="I109" s="37" t="b">
        <f>'T1 ANSP'!J64='T1'!J64</f>
        <v>1</v>
      </c>
      <c r="J109" s="37" t="b">
        <f>'T1 ANSP'!K64='T1'!K64</f>
        <v>1</v>
      </c>
      <c r="K109" s="37" t="b">
        <f>'T1 ANSP'!L64='T1'!L64</f>
        <v>1</v>
      </c>
      <c r="M109" s="37" t="b">
        <f>'T1 ANSP'!N64='T1'!N64</f>
        <v>1</v>
      </c>
      <c r="N109" s="37" t="b">
        <f>'T1 ANSP'!O64='T1'!O64</f>
        <v>1</v>
      </c>
      <c r="O109" s="37" t="b">
        <f>'T1 ANSP'!P64='T1'!P64</f>
        <v>1</v>
      </c>
      <c r="P109" s="16"/>
      <c r="Q109" s="37" t="b">
        <f>'T1 ANSP'!R64='T1'!R64</f>
        <v>1</v>
      </c>
      <c r="R109" s="44"/>
    </row>
    <row r="110" spans="1:18" s="44" customFormat="1" ht="15" customHeight="1" outlineLevel="1">
      <c r="A110" s="57"/>
      <c r="B110" s="40"/>
      <c r="C110" s="41" t="s">
        <v>62</v>
      </c>
      <c r="D110" s="45"/>
      <c r="E110" s="47">
        <f>'T1 ANSP'!F64</f>
        <v>0.02</v>
      </c>
      <c r="F110" s="47">
        <f>'T1 ANSP'!G64</f>
        <v>3.9E-2</v>
      </c>
      <c r="G110" s="47">
        <f>'T1 ANSP'!H64</f>
        <v>1.9E-2</v>
      </c>
      <c r="H110" s="47">
        <f>'T1 ANSP'!I64</f>
        <v>0.03</v>
      </c>
      <c r="I110" s="47">
        <f>'T1 ANSP'!J64</f>
        <v>2.3E-2</v>
      </c>
      <c r="J110" s="47">
        <f>'T1 ANSP'!K64</f>
        <v>1.2E-2</v>
      </c>
      <c r="K110" s="47">
        <f>'T1 ANSP'!L64</f>
        <v>2.1999999999999999E-2</v>
      </c>
      <c r="M110" s="47">
        <f>'T1 ANSP'!N64</f>
        <v>0.02</v>
      </c>
      <c r="N110" s="47">
        <f>'T1 ANSP'!O64</f>
        <v>0.02</v>
      </c>
      <c r="O110" s="47">
        <f>'T1 ANSP'!P64</f>
        <v>0.02</v>
      </c>
      <c r="P110" s="16"/>
      <c r="Q110" s="47">
        <f>'T1 ANSP'!R64</f>
        <v>1.2E-2</v>
      </c>
    </row>
    <row r="111" spans="1:18" s="44" customFormat="1" ht="15" customHeight="1" outlineLevel="1">
      <c r="A111" s="57"/>
      <c r="B111" s="40"/>
      <c r="C111" s="41" t="s">
        <v>63</v>
      </c>
      <c r="D111" s="45"/>
      <c r="E111" s="47">
        <f>'T1'!F64</f>
        <v>0.02</v>
      </c>
      <c r="F111" s="47">
        <f>'T1'!G64</f>
        <v>3.9E-2</v>
      </c>
      <c r="G111" s="47">
        <f>'T1'!H64</f>
        <v>1.9E-2</v>
      </c>
      <c r="H111" s="47">
        <f>'T1'!I64</f>
        <v>0.03</v>
      </c>
      <c r="I111" s="47">
        <f>'T1'!J64</f>
        <v>2.3E-2</v>
      </c>
      <c r="J111" s="47">
        <f>'T1'!K64</f>
        <v>1.2E-2</v>
      </c>
      <c r="K111" s="47">
        <f>'T1'!L64</f>
        <v>2.1999999999999999E-2</v>
      </c>
      <c r="M111" s="47">
        <f>'T1'!N64</f>
        <v>0.02</v>
      </c>
      <c r="N111" s="47">
        <f>'T1'!O64</f>
        <v>0.02</v>
      </c>
      <c r="O111" s="47">
        <f>'T1'!P64</f>
        <v>0.02</v>
      </c>
      <c r="P111" s="16"/>
      <c r="Q111" s="47">
        <f>'T1'!R64</f>
        <v>1.2E-2</v>
      </c>
    </row>
    <row r="112" spans="1:18" s="38" customFormat="1" ht="15" customHeight="1">
      <c r="A112" s="56" t="s">
        <v>64</v>
      </c>
      <c r="B112" s="34" t="s">
        <v>37</v>
      </c>
      <c r="C112" s="35" t="s">
        <v>65</v>
      </c>
      <c r="D112" s="45"/>
      <c r="E112" s="37" t="b">
        <f>'T1 ANSP'!F65='T1'!F65</f>
        <v>1</v>
      </c>
      <c r="F112" s="37" t="b">
        <f>'T1 ANSP'!G65='T1'!G65</f>
        <v>1</v>
      </c>
      <c r="G112" s="37" t="b">
        <f>'T1 ANSP'!H65='T1'!H65</f>
        <v>1</v>
      </c>
      <c r="H112" s="37" t="b">
        <f>'T1 ANSP'!I65='T1'!I65</f>
        <v>1</v>
      </c>
      <c r="I112" s="37" t="b">
        <f>'T1 ANSP'!J65='T1'!J65</f>
        <v>1</v>
      </c>
      <c r="J112" s="37" t="b">
        <f>'T1 ANSP'!K65='T1'!K65</f>
        <v>1</v>
      </c>
      <c r="K112" s="37" t="b">
        <f>'T1 ANSP'!L65='T1'!L65</f>
        <v>1</v>
      </c>
      <c r="M112" s="37" t="b">
        <f>'T1 ANSP'!N65='T1'!N65</f>
        <v>1</v>
      </c>
      <c r="N112" s="37" t="b">
        <f>'T1 ANSP'!O65='T1'!O65</f>
        <v>1</v>
      </c>
      <c r="O112" s="37" t="b">
        <f>'T1 ANSP'!P65='T1'!P65</f>
        <v>1</v>
      </c>
      <c r="P112" s="16"/>
      <c r="Q112" s="37" t="b">
        <f>'T1 ANSP'!R65='T1'!R65</f>
        <v>1</v>
      </c>
      <c r="R112" s="44"/>
    </row>
    <row r="113" spans="1:18" s="44" customFormat="1" ht="15" customHeight="1" outlineLevel="1">
      <c r="A113" s="58"/>
      <c r="B113" s="40"/>
      <c r="C113" s="41" t="s">
        <v>66</v>
      </c>
      <c r="D113" s="45"/>
      <c r="E113" s="48">
        <f>'T1 ANSP'!F65</f>
        <v>94.45180643802405</v>
      </c>
      <c r="F113" s="48">
        <f>'T1 ANSP'!G65</f>
        <v>98.135426889106981</v>
      </c>
      <c r="G113" s="48">
        <f>'T1 ANSP'!H65</f>
        <v>100</v>
      </c>
      <c r="H113" s="48">
        <f>'T1 ANSP'!I65</f>
        <v>103</v>
      </c>
      <c r="I113" s="48">
        <f>'T1 ANSP'!J65</f>
        <v>105.36899999999999</v>
      </c>
      <c r="J113" s="48">
        <f>'T1 ANSP'!K65</f>
        <v>106.63342799999998</v>
      </c>
      <c r="K113" s="48">
        <f>'T1 ANSP'!L65</f>
        <v>108.97936341599998</v>
      </c>
      <c r="M113" s="48">
        <f>'T1 ANSP'!N65</f>
        <v>111.15895068431999</v>
      </c>
      <c r="N113" s="48">
        <f>'T1 ANSP'!O65</f>
        <v>113.38212969800639</v>
      </c>
      <c r="O113" s="48">
        <f>'T1 ANSP'!P65</f>
        <v>115.64977229196653</v>
      </c>
      <c r="P113" s="16"/>
      <c r="Q113" s="48">
        <f>'T1 ANSP'!R65</f>
        <v>106.63342799999998</v>
      </c>
    </row>
    <row r="114" spans="1:18" s="44" customFormat="1" ht="15" customHeight="1" outlineLevel="1">
      <c r="A114" s="58"/>
      <c r="B114" s="40"/>
      <c r="C114" s="41" t="s">
        <v>67</v>
      </c>
      <c r="D114" s="45"/>
      <c r="E114" s="48">
        <f>'T1'!F65</f>
        <v>94.45180643802405</v>
      </c>
      <c r="F114" s="48">
        <f>'T1'!G65</f>
        <v>98.135426889106981</v>
      </c>
      <c r="G114" s="48">
        <f>'T1'!H65</f>
        <v>100</v>
      </c>
      <c r="H114" s="48">
        <f>'T1'!I65</f>
        <v>103</v>
      </c>
      <c r="I114" s="48">
        <f>'T1'!J65</f>
        <v>105.36899999999999</v>
      </c>
      <c r="J114" s="48">
        <f>'T1'!K65</f>
        <v>106.63342799999998</v>
      </c>
      <c r="K114" s="48">
        <f>'T1'!L65</f>
        <v>108.97936341599998</v>
      </c>
      <c r="M114" s="48">
        <f>'T1'!N65</f>
        <v>111.15895068431999</v>
      </c>
      <c r="N114" s="48">
        <f>'T1'!O65</f>
        <v>113.38212969800639</v>
      </c>
      <c r="O114" s="48">
        <f>'T1'!P65</f>
        <v>115.64977229196653</v>
      </c>
      <c r="P114" s="16"/>
      <c r="Q114" s="48">
        <f>'T1'!R65</f>
        <v>106.63342799999998</v>
      </c>
    </row>
    <row r="115" spans="1:18" s="38" customFormat="1" ht="15" customHeight="1">
      <c r="A115" s="33" t="s">
        <v>68</v>
      </c>
      <c r="B115" s="34" t="s">
        <v>69</v>
      </c>
      <c r="C115" s="59" t="s">
        <v>70</v>
      </c>
      <c r="D115" s="36">
        <v>3</v>
      </c>
      <c r="E115" s="37" t="b">
        <f>IF('T1 ANSP'!F39&gt;0,ROUND('T1 ANSP'!F41,$D$115)=ROUND('T1 ANSP'!F16/'T1 ANSP'!F39,$D$115),"N/A")</f>
        <v>1</v>
      </c>
      <c r="F115" s="37" t="b">
        <f>IF('T1 ANSP'!G39&gt;0,ROUND('T1 ANSP'!G41,$D$115)=ROUND('T1 ANSP'!G16/'T1 ANSP'!G39,$D$115),"N/A")</f>
        <v>1</v>
      </c>
      <c r="G115" s="37" t="b">
        <f>IF('T1 ANSP'!H39&gt;0,ROUND('T1 ANSP'!H41,$D$115)=ROUND('T1 ANSP'!H16/'T1 ANSP'!H39,$D$115),"N/A")</f>
        <v>1</v>
      </c>
      <c r="H115" s="37" t="b">
        <f>IF('T1 ANSP'!I39&gt;0,ROUND('T1 ANSP'!I41,$D$115)=ROUND('T1 ANSP'!I16/'T1 ANSP'!I39,$D$115),"N/A")</f>
        <v>1</v>
      </c>
      <c r="I115" s="37" t="b">
        <f>IF('T1 ANSP'!J39&gt;0,ROUND('T1 ANSP'!J41,$D$115)=ROUND('T1 ANSP'!J16/'T1 ANSP'!J39,$D$115),"N/A")</f>
        <v>1</v>
      </c>
      <c r="J115" s="1076" t="b">
        <f>IF('T1 ANSP'!K39&gt;0,ROUND('T1 ANSP'!K41,$D$115)=ROUND('T1 ANSP'!K16/'T1 ANSP'!K39,$D$115),"N/A")</f>
        <v>1</v>
      </c>
      <c r="K115" s="1076" t="b">
        <f>IF('T1 ANSP'!L39&gt;0,ROUND('T1 ANSP'!L41,$D$115)=ROUND('T1 ANSP'!L16/'T1 ANSP'!L39,$D$115),"N/A")</f>
        <v>1</v>
      </c>
      <c r="L115" s="1077"/>
      <c r="M115" s="1076" t="b">
        <f>IF('T1 ANSP'!N39&gt;0,ROUND('T1 ANSP'!N41,$D$115)=ROUND('T1 ANSP'!N16/'T1 ANSP'!N39,$D$115),"N/A")</f>
        <v>1</v>
      </c>
      <c r="N115" s="1076" t="b">
        <f>IF('T1 ANSP'!O39&gt;0,ROUND('T1 ANSP'!O41,$D$115)=ROUND('T1 ANSP'!O16/'T1 ANSP'!O39,$D$115),"N/A")</f>
        <v>1</v>
      </c>
      <c r="O115" s="1076" t="b">
        <f>IF('T1 ANSP'!P39&gt;0,ROUND('T1 ANSP'!P41,$D$115)=ROUND('T1 ANSP'!P16/'T1 ANSP'!P39,$D$115),"N/A")</f>
        <v>1</v>
      </c>
      <c r="P115" s="1078"/>
      <c r="Q115" s="1076" t="b">
        <f>IF('T1 ANSP'!R39&gt;0,ROUND('T1 ANSP'!R41,$D$115)=ROUND('T1 ANSP'!R16/'T1 ANSP'!R39,$D$115),"N/A")</f>
        <v>1</v>
      </c>
      <c r="R115" s="44"/>
    </row>
    <row r="116" spans="1:18" s="44" customFormat="1" ht="15" customHeight="1" outlineLevel="1">
      <c r="A116" s="39"/>
      <c r="B116" s="40"/>
      <c r="C116" s="41" t="s">
        <v>71</v>
      </c>
      <c r="D116" s="45"/>
      <c r="E116" s="60">
        <f>IF('T1 ANSP'!F39&gt;0,ROUND('T1 ANSP'!F41,$D$115),"N/A")</f>
        <v>7.5999999999999998E-2</v>
      </c>
      <c r="F116" s="60">
        <f>IF('T1 ANSP'!G39&gt;0,ROUND('T1 ANSP'!G41,$D$115),"N/A")</f>
        <v>7.5999999999999998E-2</v>
      </c>
      <c r="G116" s="60">
        <f>IF('T1 ANSP'!H39&gt;0,ROUND('T1 ANSP'!H41,$D$115),"N/A")</f>
        <v>7.5999999999999998E-2</v>
      </c>
      <c r="H116" s="60">
        <f>IF('T1 ANSP'!I39&gt;0,ROUND('T1 ANSP'!I41,$D$115),"N/A")</f>
        <v>7.5999999999999998E-2</v>
      </c>
      <c r="I116" s="60">
        <f>IF('T1 ANSP'!J39&gt;0,ROUND('T1 ANSP'!J41,$D$115),"N/A")</f>
        <v>7.5999999999999998E-2</v>
      </c>
      <c r="J116" s="1079">
        <f>IF('T1 ANSP'!K39&gt;0,ROUND('T1 ANSP'!K41,$D$115),"N/A")</f>
        <v>5.8999999999999997E-2</v>
      </c>
      <c r="K116" s="1079">
        <f>IF('T1 ANSP'!L39&gt;0,ROUND('T1 ANSP'!L41,$D$115),"N/A")</f>
        <v>5.8999999999999997E-2</v>
      </c>
      <c r="L116" s="1080"/>
      <c r="M116" s="1079">
        <f>IF('T1 ANSP'!N39&gt;0,ROUND('T1 ANSP'!N41,$D$115),"N/A")</f>
        <v>5.8999999999999997E-2</v>
      </c>
      <c r="N116" s="1079">
        <f>IF('T1 ANSP'!O39&gt;0,ROUND('T1 ANSP'!O41,$D$115),"N/A")</f>
        <v>5.8999999999999997E-2</v>
      </c>
      <c r="O116" s="1079">
        <f>IF('T1 ANSP'!P39&gt;0,ROUND('T1 ANSP'!P41,$D$115),"N/A")</f>
        <v>5.8999999999999997E-2</v>
      </c>
      <c r="P116" s="1078"/>
      <c r="Q116" s="1079">
        <f>IF('T1 ANSP'!R39&gt;0,ROUND('T1 ANSP'!R41,$D$115),"N/A")</f>
        <v>5.8999999999999997E-2</v>
      </c>
    </row>
    <row r="117" spans="1:18" s="44" customFormat="1" ht="15" customHeight="1" outlineLevel="1">
      <c r="A117" s="39"/>
      <c r="B117" s="40"/>
      <c r="C117" s="41" t="s">
        <v>72</v>
      </c>
      <c r="D117" s="45"/>
      <c r="E117" s="60">
        <f>IF('T1 ANSP'!F39&gt;0,ROUND('T1 ANSP'!F16/'T1 ANSP'!F39,$D$115),"N/A")</f>
        <v>7.5999999999999998E-2</v>
      </c>
      <c r="F117" s="60">
        <f>IF('T1 ANSP'!G39&gt;0,ROUND('T1 ANSP'!G16/'T1 ANSP'!G39,$D$115),"N/A")</f>
        <v>7.5999999999999998E-2</v>
      </c>
      <c r="G117" s="60">
        <f>IF('T1 ANSP'!H39&gt;0,ROUND('T1 ANSP'!H16/'T1 ANSP'!H39,$D$115),"N/A")</f>
        <v>7.5999999999999998E-2</v>
      </c>
      <c r="H117" s="60">
        <f>IF('T1 ANSP'!I39&gt;0,ROUND('T1 ANSP'!I16/'T1 ANSP'!I39,$D$115),"N/A")</f>
        <v>7.5999999999999998E-2</v>
      </c>
      <c r="I117" s="60">
        <f>IF('T1 ANSP'!J39&gt;0,ROUND('T1 ANSP'!J16/'T1 ANSP'!J39,$D$115),"N/A")</f>
        <v>7.5999999999999998E-2</v>
      </c>
      <c r="J117" s="1079">
        <f>IF('T1 ANSP'!K39&gt;0,ROUND('T1 ANSP'!K16/'T1 ANSP'!K39,$D$115),"N/A")</f>
        <v>5.8999999999999997E-2</v>
      </c>
      <c r="K117" s="1079">
        <f>IF('T1 ANSP'!L39&gt;0,ROUND('T1 ANSP'!L16/'T1 ANSP'!L39,$D$115),"N/A")</f>
        <v>5.8999999999999997E-2</v>
      </c>
      <c r="L117" s="1080"/>
      <c r="M117" s="1079">
        <f>IF('T1 ANSP'!N39&gt;0,ROUND('T1 ANSP'!N16/'T1 ANSP'!N39,$D$115),"N/A")</f>
        <v>5.8999999999999997E-2</v>
      </c>
      <c r="N117" s="1079">
        <f>IF('T1 ANSP'!O39&gt;0,ROUND('T1 ANSP'!O16/'T1 ANSP'!O39,$D$115),"N/A")</f>
        <v>5.8999999999999997E-2</v>
      </c>
      <c r="O117" s="1079">
        <f>IF('T1 ANSP'!P39&gt;0,ROUND('T1 ANSP'!P16/'T1 ANSP'!P39,$D$115),"N/A")</f>
        <v>5.8999999999999997E-2</v>
      </c>
      <c r="P117" s="1078"/>
      <c r="Q117" s="1079">
        <f>IF('T1 ANSP'!R39&gt;0,ROUND('T1 ANSP'!R16/'T1 ANSP'!R39,$D$115),"N/A")</f>
        <v>5.8999999999999997E-2</v>
      </c>
    </row>
    <row r="118" spans="1:18" s="38" customFormat="1" ht="15" customHeight="1">
      <c r="A118" s="33" t="s">
        <v>73</v>
      </c>
      <c r="B118" s="34" t="s">
        <v>74</v>
      </c>
      <c r="C118" s="61" t="s">
        <v>75</v>
      </c>
      <c r="D118" s="36">
        <v>3</v>
      </c>
      <c r="E118" s="37" t="b">
        <f>IF('T1 ANSP'!F16&gt;0,IF(ISERROR(ROUND(('T1 ANSP'!F16-('T1 ANSP'!F39*'T1 ANSP'!F43))/(('T1 ANSP'!F39*'T1 ANSP'!F42)-('T1 ANSP'!F39*'T1 ANSP'!F43)),$D$118)),"N/A",ROUND(('T1 ANSP'!F16-('T1 ANSP'!F39*'T1 ANSP'!F43))/(('T1 ANSP'!F39*'T1 ANSP'!F42)-('T1 ANSP'!F39*'T1 ANSP'!F43)),$D$118))=ROUND('T1 ANSP'!F44,$D$118),"N/A")</f>
        <v>1</v>
      </c>
      <c r="F118" s="37" t="b">
        <f>IF('T1 ANSP'!G16&gt;0,IF(ISERROR(ROUND(('T1 ANSP'!G16-('T1 ANSP'!G39*'T1 ANSP'!G43))/(('T1 ANSP'!G39*'T1 ANSP'!G42)-('T1 ANSP'!G39*'T1 ANSP'!G43)),$D$118)),"N/A",ROUND(('T1 ANSP'!G16-('T1 ANSP'!G39*'T1 ANSP'!G43))/(('T1 ANSP'!G39*'T1 ANSP'!G42)-('T1 ANSP'!G39*'T1 ANSP'!G43)),$D$118))=ROUND('T1 ANSP'!G44,$D$118),"N/A")</f>
        <v>1</v>
      </c>
      <c r="G118" s="37" t="b">
        <f>IF('T1 ANSP'!H16&gt;0,IF(ISERROR(ROUND(('T1 ANSP'!H16-('T1 ANSP'!H39*'T1 ANSP'!H43))/(('T1 ANSP'!H39*'T1 ANSP'!H42)-('T1 ANSP'!H39*'T1 ANSP'!H43)),$D$118)),"N/A",ROUND(('T1 ANSP'!H16-('T1 ANSP'!H39*'T1 ANSP'!H43))/(('T1 ANSP'!H39*'T1 ANSP'!H42)-('T1 ANSP'!H39*'T1 ANSP'!H43)),$D$118))=ROUND('T1 ANSP'!H44,$D$118),"N/A")</f>
        <v>1</v>
      </c>
      <c r="H118" s="37" t="b">
        <f>IF('T1 ANSP'!I16&gt;0,IF(ISERROR(ROUND(('T1 ANSP'!I16-('T1 ANSP'!I39*'T1 ANSP'!I43))/(('T1 ANSP'!I39*'T1 ANSP'!I42)-('T1 ANSP'!I39*'T1 ANSP'!I43)),$D$118)),"N/A",ROUND(('T1 ANSP'!I16-('T1 ANSP'!I39*'T1 ANSP'!I43))/(('T1 ANSP'!I39*'T1 ANSP'!I42)-('T1 ANSP'!I39*'T1 ANSP'!I43)),$D$118))=ROUND('T1 ANSP'!I44,$D$118),"N/A")</f>
        <v>1</v>
      </c>
      <c r="I118" s="37" t="b">
        <f>IF('T1 ANSP'!J16&gt;0,IF(ISERROR(ROUND(('T1 ANSP'!J16-('T1 ANSP'!J39*'T1 ANSP'!J43))/(('T1 ANSP'!J39*'T1 ANSP'!J42)-('T1 ANSP'!J39*'T1 ANSP'!J43)),$D$118)),"N/A",ROUND(('T1 ANSP'!J16-('T1 ANSP'!J39*'T1 ANSP'!J43))/(('T1 ANSP'!J39*'T1 ANSP'!J42)-('T1 ANSP'!J39*'T1 ANSP'!J43)),$D$118))=ROUND('T1 ANSP'!J44,$D$118),"N/A")</f>
        <v>1</v>
      </c>
      <c r="J118" s="37" t="b">
        <f>IF('T1 ANSP'!K16&gt;0,IF(ISERROR(ROUND(('T1 ANSP'!K16-('T1 ANSP'!K39*'T1 ANSP'!K43))/(('T1 ANSP'!K39*'T1 ANSP'!K42)-('T1 ANSP'!K39*'T1 ANSP'!K43)),$D$118)),"N/A",ROUND(('T1 ANSP'!K16-('T1 ANSP'!K39*'T1 ANSP'!K43))/(('T1 ANSP'!K39*'T1 ANSP'!K42)-('T1 ANSP'!K39*'T1 ANSP'!K43)),$D$118))=ROUND('T1 ANSP'!K44,$D$118),"N/A")</f>
        <v>1</v>
      </c>
      <c r="K118" s="37" t="b">
        <f>IF('T1 ANSP'!L16&gt;0,IF(ISERROR(ROUND(('T1 ANSP'!L16-('T1 ANSP'!L39*'T1 ANSP'!L43))/(('T1 ANSP'!L39*'T1 ANSP'!L42)-('T1 ANSP'!L39*'T1 ANSP'!L43)),$D$118)),"N/A",ROUND(('T1 ANSP'!L16-('T1 ANSP'!L39*'T1 ANSP'!L43))/(('T1 ANSP'!L39*'T1 ANSP'!L42)-('T1 ANSP'!L39*'T1 ANSP'!L43)),$D$118))=ROUND('T1 ANSP'!L44,$D$118),"N/A")</f>
        <v>1</v>
      </c>
      <c r="M118" s="37" t="b">
        <f>IF('T1 ANSP'!N16&gt;0,IF(ISERROR(ROUND(('T1 ANSP'!N16-('T1 ANSP'!N39*'T1 ANSP'!N43))/(('T1 ANSP'!N39*'T1 ANSP'!N42)-('T1 ANSP'!N39*'T1 ANSP'!N43)),$D$118)),"N/A",ROUND(('T1 ANSP'!N16-('T1 ANSP'!N39*'T1 ANSP'!N43))/(('T1 ANSP'!N39*'T1 ANSP'!N42)-('T1 ANSP'!N39*'T1 ANSP'!N43)),$D$118))=ROUND('T1 ANSP'!N44,$D$118),"N/A")</f>
        <v>1</v>
      </c>
      <c r="N118" s="37" t="b">
        <f>IF('T1 ANSP'!O16&gt;0,IF(ISERROR(ROUND(('T1 ANSP'!O16-('T1 ANSP'!O39*'T1 ANSP'!O43))/(('T1 ANSP'!O39*'T1 ANSP'!O42)-('T1 ANSP'!O39*'T1 ANSP'!O43)),$D$118)),"N/A",ROUND(('T1 ANSP'!O16-('T1 ANSP'!O39*'T1 ANSP'!O43))/(('T1 ANSP'!O39*'T1 ANSP'!O42)-('T1 ANSP'!O39*'T1 ANSP'!O43)),$D$118))=ROUND('T1 ANSP'!O44,$D$118),"N/A")</f>
        <v>1</v>
      </c>
      <c r="O118" s="37" t="b">
        <f>IF('T1 ANSP'!P16&gt;0,IF(ISERROR(ROUND(('T1 ANSP'!P16-('T1 ANSP'!P39*'T1 ANSP'!P43))/(('T1 ANSP'!P39*'T1 ANSP'!P42)-('T1 ANSP'!P39*'T1 ANSP'!P43)),$D$118)),"N/A",ROUND(('T1 ANSP'!P16-('T1 ANSP'!P39*'T1 ANSP'!P43))/(('T1 ANSP'!P39*'T1 ANSP'!P42)-('T1 ANSP'!P39*'T1 ANSP'!P43)),$D$118))=ROUND('T1 ANSP'!P44,$D$118),"N/A")</f>
        <v>1</v>
      </c>
      <c r="P118" s="16"/>
      <c r="Q118" s="37" t="b">
        <f>IF('T1 ANSP'!R16&gt;0,IF(ISERROR(ROUND(('T1 ANSP'!R16-('T1 ANSP'!R39*'T1 ANSP'!R43))/(('T1 ANSP'!R39*'T1 ANSP'!R42)-('T1 ANSP'!R39*'T1 ANSP'!R43)),$D$118)),"N/A",ROUND(('T1 ANSP'!R16-('T1 ANSP'!R39*'T1 ANSP'!R43))/(('T1 ANSP'!R39*'T1 ANSP'!R42)-('T1 ANSP'!R39*'T1 ANSP'!R43)),$D$118))=ROUND('T1 ANSP'!R44,$D$118),"N/A")</f>
        <v>1</v>
      </c>
      <c r="R118" s="44"/>
    </row>
    <row r="119" spans="1:18" s="44" customFormat="1" ht="15" customHeight="1" outlineLevel="1">
      <c r="A119" s="39"/>
      <c r="B119" s="40"/>
      <c r="C119" s="62" t="s">
        <v>76</v>
      </c>
      <c r="D119" s="45"/>
      <c r="E119" s="63">
        <f>IF('T1 ANSP'!F16&gt;0,IF(ISERROR(ROUND(('T1 ANSP'!F16-('T1 ANSP'!F39*'T1 ANSP'!F43))/(('T1 ANSP'!F39*'T1 ANSP'!F42)-('T1 ANSP'!F39*'T1 ANSP'!F43)),$D$118)),"N/A",ROUND(('T1 ANSP'!F16-('T1 ANSP'!F39*'T1 ANSP'!F43))/(('T1 ANSP'!F39*'T1 ANSP'!F42)-('T1 ANSP'!F39*'T1 ANSP'!F43)),$D$118)),"N/A")</f>
        <v>0.40200000000000002</v>
      </c>
      <c r="F119" s="63">
        <f>IF('T1 ANSP'!G16&gt;0,IF(ISERROR(ROUND(('T1 ANSP'!G16-('T1 ANSP'!G39*'T1 ANSP'!G43))/(('T1 ANSP'!G39*'T1 ANSP'!G42)-('T1 ANSP'!G39*'T1 ANSP'!G43)),$D$118)),"N/A",ROUND(('T1 ANSP'!G16-('T1 ANSP'!G39*'T1 ANSP'!G43))/(('T1 ANSP'!G39*'T1 ANSP'!G42)-('T1 ANSP'!G39*'T1 ANSP'!G43)),$D$118)),"N/A")</f>
        <v>0.40200000000000002</v>
      </c>
      <c r="G119" s="63">
        <f>IF('T1 ANSP'!H16&gt;0,IF(ISERROR(ROUND(('T1 ANSP'!H16-('T1 ANSP'!H39*'T1 ANSP'!H43))/(('T1 ANSP'!H39*'T1 ANSP'!H42)-('T1 ANSP'!H39*'T1 ANSP'!H43)),$D$118)),"N/A",ROUND(('T1 ANSP'!H16-('T1 ANSP'!H39*'T1 ANSP'!H43))/(('T1 ANSP'!H39*'T1 ANSP'!H42)-('T1 ANSP'!H39*'T1 ANSP'!H43)),$D$118)),"N/A")</f>
        <v>0.40200000000000002</v>
      </c>
      <c r="H119" s="63">
        <f>IF('T1 ANSP'!I16&gt;0,IF(ISERROR(ROUND(('T1 ANSP'!I16-('T1 ANSP'!I39*'T1 ANSP'!I43))/(('T1 ANSP'!I39*'T1 ANSP'!I42)-('T1 ANSP'!I39*'T1 ANSP'!I43)),$D$118)),"N/A",ROUND(('T1 ANSP'!I16-('T1 ANSP'!I39*'T1 ANSP'!I43))/(('T1 ANSP'!I39*'T1 ANSP'!I42)-('T1 ANSP'!I39*'T1 ANSP'!I43)),$D$118)),"N/A")</f>
        <v>0.4</v>
      </c>
      <c r="I119" s="63">
        <f>IF('T1 ANSP'!J16&gt;0,IF(ISERROR(ROUND(('T1 ANSP'!J16-('T1 ANSP'!J39*'T1 ANSP'!J43))/(('T1 ANSP'!J39*'T1 ANSP'!J42)-('T1 ANSP'!J39*'T1 ANSP'!J43)),$D$118)),"N/A",ROUND(('T1 ANSP'!J16-('T1 ANSP'!J39*'T1 ANSP'!J43))/(('T1 ANSP'!J39*'T1 ANSP'!J42)-('T1 ANSP'!J39*'T1 ANSP'!J43)),$D$118)),"N/A")</f>
        <v>0.4</v>
      </c>
      <c r="J119" s="63">
        <f>IF('T1 ANSP'!K16&gt;0,IF(ISERROR(ROUND(('T1 ANSP'!K16-('T1 ANSP'!K39*'T1 ANSP'!K43))/(('T1 ANSP'!K39*'T1 ANSP'!K42)-('T1 ANSP'!K39*'T1 ANSP'!K43)),$D$118)),"N/A",ROUND(('T1 ANSP'!K16-('T1 ANSP'!K39*'T1 ANSP'!K43))/(('T1 ANSP'!K39*'T1 ANSP'!K42)-('T1 ANSP'!K39*'T1 ANSP'!K43)),$D$118)),"N/A")</f>
        <v>0.4</v>
      </c>
      <c r="K119" s="63">
        <f>IF('T1 ANSP'!L16&gt;0,IF(ISERROR(ROUND(('T1 ANSP'!L16-('T1 ANSP'!L39*'T1 ANSP'!L43))/(('T1 ANSP'!L39*'T1 ANSP'!L42)-('T1 ANSP'!L39*'T1 ANSP'!L43)),$D$118)),"N/A",ROUND(('T1 ANSP'!L16-('T1 ANSP'!L39*'T1 ANSP'!L43))/(('T1 ANSP'!L39*'T1 ANSP'!L42)-('T1 ANSP'!L39*'T1 ANSP'!L43)),$D$118)),"N/A")</f>
        <v>0.4</v>
      </c>
      <c r="M119" s="63">
        <f>IF('T1 ANSP'!N16&gt;0,IF(ISERROR(ROUND(('T1 ANSP'!N16-('T1 ANSP'!N39*'T1 ANSP'!N43))/(('T1 ANSP'!N39*'T1 ANSP'!N42)-('T1 ANSP'!N39*'T1 ANSP'!N43)),$D$118)),"N/A",ROUND(('T1 ANSP'!N16-('T1 ANSP'!N39*'T1 ANSP'!N43))/(('T1 ANSP'!N39*'T1 ANSP'!N42)-('T1 ANSP'!N39*'T1 ANSP'!N43)),$D$118)),"N/A")</f>
        <v>0.4</v>
      </c>
      <c r="N119" s="63">
        <f>IF('T1 ANSP'!O16&gt;0,IF(ISERROR(ROUND(('T1 ANSP'!O16-('T1 ANSP'!O39*'T1 ANSP'!O43))/(('T1 ANSP'!O39*'T1 ANSP'!O42)-('T1 ANSP'!O39*'T1 ANSP'!O43)),$D$118)),"N/A",ROUND(('T1 ANSP'!O16-('T1 ANSP'!O39*'T1 ANSP'!O43))/(('T1 ANSP'!O39*'T1 ANSP'!O42)-('T1 ANSP'!O39*'T1 ANSP'!O43)),$D$118)),"N/A")</f>
        <v>0.4</v>
      </c>
      <c r="O119" s="63">
        <f>IF('T1 ANSP'!P16&gt;0,IF(ISERROR(ROUND(('T1 ANSP'!P16-('T1 ANSP'!P39*'T1 ANSP'!P43))/(('T1 ANSP'!P39*'T1 ANSP'!P42)-('T1 ANSP'!P39*'T1 ANSP'!P43)),$D$118)),"N/A",ROUND(('T1 ANSP'!P16-('T1 ANSP'!P39*'T1 ANSP'!P43))/(('T1 ANSP'!P39*'T1 ANSP'!P42)-('T1 ANSP'!P39*'T1 ANSP'!P43)),$D$118)),"N/A")</f>
        <v>0.4</v>
      </c>
      <c r="P119" s="16"/>
      <c r="Q119" s="63">
        <f>IF('T1 ANSP'!R16&gt;0,IF(ISERROR(ROUND(('T1 ANSP'!R16-('T1 ANSP'!R39*'T1 ANSP'!R43))/(('T1 ANSP'!R39*'T1 ANSP'!R42)-('T1 ANSP'!R39*'T1 ANSP'!R43)),$D$118)),"N/A",ROUND(('T1 ANSP'!R16-('T1 ANSP'!R39*'T1 ANSP'!R43))/(('T1 ANSP'!R39*'T1 ANSP'!R42)-('T1 ANSP'!R39*'T1 ANSP'!R43)),$D$118)),"N/A")</f>
        <v>0.4</v>
      </c>
    </row>
    <row r="120" spans="1:18" s="44" customFormat="1" ht="15" customHeight="1" outlineLevel="1">
      <c r="A120" s="39"/>
      <c r="B120" s="40"/>
      <c r="C120" s="62" t="s">
        <v>77</v>
      </c>
      <c r="D120" s="45"/>
      <c r="E120" s="64">
        <f>IF('T1 ANSP'!F16&gt;0,ROUND('T1 ANSP'!F44,$D$118),"N/A")</f>
        <v>0.40200000000000002</v>
      </c>
      <c r="F120" s="64">
        <f>IF('T1 ANSP'!G16&gt;0,ROUND('T1 ANSP'!G44,$D$118),"N/A")</f>
        <v>0.40200000000000002</v>
      </c>
      <c r="G120" s="64">
        <f>IF('T1 ANSP'!H16&gt;0,ROUND('T1 ANSP'!H44,$D$118),"N/A")</f>
        <v>0.40200000000000002</v>
      </c>
      <c r="H120" s="64">
        <f>IF('T1 ANSP'!I16&gt;0,ROUND('T1 ANSP'!I44,$D$118),"N/A")</f>
        <v>0.4</v>
      </c>
      <c r="I120" s="64">
        <f>IF('T1 ANSP'!J16&gt;0,ROUND('T1 ANSP'!J44,$D$118),"N/A")</f>
        <v>0.4</v>
      </c>
      <c r="J120" s="64">
        <f>IF('T1 ANSP'!K16&gt;0,ROUND('T1 ANSP'!K44,$D$118),"N/A")</f>
        <v>0.4</v>
      </c>
      <c r="K120" s="64">
        <f>IF('T1 ANSP'!L16&gt;0,ROUND('T1 ANSP'!L44,$D$118),"N/A")</f>
        <v>0.4</v>
      </c>
      <c r="M120" s="64">
        <f>IF('T1 ANSP'!N16&gt;0,ROUND('T1 ANSP'!N44,$D$118),"N/A")</f>
        <v>0.4</v>
      </c>
      <c r="N120" s="64">
        <f>IF('T1 ANSP'!O16&gt;0,ROUND('T1 ANSP'!O44,$D$118),"N/A")</f>
        <v>0.4</v>
      </c>
      <c r="O120" s="64">
        <f>IF('T1 ANSP'!P16&gt;0,ROUND('T1 ANSP'!P44,$D$118),"N/A")</f>
        <v>0.4</v>
      </c>
      <c r="P120" s="16"/>
      <c r="Q120" s="64">
        <f>IF('T1 ANSP'!R16&gt;0,ROUND('T1 ANSP'!R44,$D$118),"N/A")</f>
        <v>0.4</v>
      </c>
    </row>
    <row r="121" spans="1:18" s="38" customFormat="1" ht="15" customHeight="1">
      <c r="A121" s="52" t="s">
        <v>78</v>
      </c>
      <c r="B121" s="34" t="s">
        <v>79</v>
      </c>
      <c r="C121" s="35" t="s">
        <v>80</v>
      </c>
      <c r="D121" s="36">
        <v>3</v>
      </c>
      <c r="E121" s="37" t="b">
        <f>ROUND(SUM('T1 ANSP'!F36:F38),$D$121)=ROUND('T1 ANSP'!F39,$D$121)</f>
        <v>1</v>
      </c>
      <c r="F121" s="37" t="b">
        <f>ROUND(SUM('T1 ANSP'!G36:G38),$D$121)=ROUND('T1 ANSP'!G39,$D$121)</f>
        <v>1</v>
      </c>
      <c r="G121" s="37" t="b">
        <f>ROUND(SUM('T1 ANSP'!H36:H38),$D$121)=ROUND('T1 ANSP'!H39,$D$121)</f>
        <v>1</v>
      </c>
      <c r="H121" s="37" t="b">
        <f>ROUND(SUM('T1 ANSP'!I36:I38),$D$121)=ROUND('T1 ANSP'!I39,$D$121)</f>
        <v>1</v>
      </c>
      <c r="I121" s="37" t="b">
        <f>ROUND(SUM('T1 ANSP'!J36:J38),$D$121)=ROUND('T1 ANSP'!J39,$D$121)</f>
        <v>1</v>
      </c>
      <c r="J121" s="37" t="b">
        <f>ROUND(SUM('T1 ANSP'!K36:K38),$D$121)=ROUND('T1 ANSP'!K39,$D$121)</f>
        <v>1</v>
      </c>
      <c r="K121" s="37" t="b">
        <f>ROUND(SUM('T1 ANSP'!L36:L38),$D$121)=ROUND('T1 ANSP'!L39,$D$121)</f>
        <v>1</v>
      </c>
      <c r="M121" s="37" t="b">
        <f>ROUND(SUM('T1 ANSP'!N36:N38),$D$121)=ROUND('T1 ANSP'!N39,$D$121)</f>
        <v>1</v>
      </c>
      <c r="N121" s="37" t="b">
        <f>ROUND(SUM('T1 ANSP'!O36:O38),$D$121)=ROUND('T1 ANSP'!O39,$D$121)</f>
        <v>1</v>
      </c>
      <c r="O121" s="37" t="b">
        <f>ROUND(SUM('T1 ANSP'!P36:P38),$D$121)=ROUND('T1 ANSP'!P39,$D$121)</f>
        <v>1</v>
      </c>
      <c r="P121" s="16"/>
      <c r="Q121" s="37" t="b">
        <f>ROUND(SUM('T1 ANSP'!R36:R38),$D$121)=ROUND('T1 ANSP'!R39,$D$121)</f>
        <v>1</v>
      </c>
      <c r="R121" s="44"/>
    </row>
    <row r="122" spans="1:18" s="44" customFormat="1" ht="15" customHeight="1" outlineLevel="1">
      <c r="A122" s="54"/>
      <c r="B122" s="40"/>
      <c r="C122" s="41" t="s">
        <v>81</v>
      </c>
      <c r="D122" s="45"/>
      <c r="E122" s="672">
        <f>ROUND(SUM('T1 ANSP'!F36:F38),$D$121)</f>
        <v>195167.511</v>
      </c>
      <c r="F122" s="672">
        <f>ROUND(SUM('T1 ANSP'!G36:G38),$D$121)</f>
        <v>435470</v>
      </c>
      <c r="G122" s="672">
        <f>ROUND(SUM('T1 ANSP'!H36:H38),$D$121)</f>
        <v>485445.01299999998</v>
      </c>
      <c r="H122" s="672">
        <f>ROUND(SUM('T1 ANSP'!I36:I38),$D$121)</f>
        <v>483167.89500000002</v>
      </c>
      <c r="I122" s="672">
        <f>ROUND(SUM('T1 ANSP'!J36:J38),$D$121)</f>
        <v>355265.76699999999</v>
      </c>
      <c r="J122" s="672">
        <f>ROUND(SUM('T1 ANSP'!K36:K38),$D$121)</f>
        <v>516797.65100000001</v>
      </c>
      <c r="K122" s="672">
        <f>ROUND(SUM('T1 ANSP'!L36:L38),$D$121)</f>
        <v>531951.31299999997</v>
      </c>
      <c r="M122" s="672">
        <f>ROUND(SUM('T1 ANSP'!N36:N38),$D$121)</f>
        <v>535908.46200000006</v>
      </c>
      <c r="N122" s="672">
        <f>ROUND(SUM('T1 ANSP'!O36:O38),$D$121)</f>
        <v>597361.451</v>
      </c>
      <c r="O122" s="672">
        <f>ROUND(SUM('T1 ANSP'!P36:P38),$D$121)</f>
        <v>676414.23</v>
      </c>
      <c r="P122" s="16"/>
      <c r="Q122" s="672">
        <f>ROUND(SUM('T1 ANSP'!R36:R38),$D$121)</f>
        <v>516797.65100000001</v>
      </c>
    </row>
    <row r="123" spans="1:18" s="44" customFormat="1" ht="15" customHeight="1" outlineLevel="1">
      <c r="A123" s="54"/>
      <c r="B123" s="40"/>
      <c r="C123" s="41" t="s">
        <v>82</v>
      </c>
      <c r="D123" s="45"/>
      <c r="E123" s="672">
        <f>ROUND('T1 ANSP'!F39,$D$121)</f>
        <v>195167.511</v>
      </c>
      <c r="F123" s="672">
        <f>ROUND('T1 ANSP'!G39,$D$121)</f>
        <v>435470</v>
      </c>
      <c r="G123" s="672">
        <f>ROUND('T1 ANSP'!H39,$D$121)</f>
        <v>485445.01299999998</v>
      </c>
      <c r="H123" s="672">
        <f>ROUND('T1 ANSP'!I39,$D$121)</f>
        <v>483167.89500000002</v>
      </c>
      <c r="I123" s="672">
        <f>ROUND('T1 ANSP'!J39,$D$121)</f>
        <v>355265.76699999999</v>
      </c>
      <c r="J123" s="672">
        <f>ROUND('T1 ANSP'!K39,$D$121)</f>
        <v>516797.65100000001</v>
      </c>
      <c r="K123" s="672">
        <f>ROUND('T1 ANSP'!L39,$D$121)</f>
        <v>531951.31299999997</v>
      </c>
      <c r="M123" s="672">
        <f>ROUND('T1 ANSP'!N39,$D$121)</f>
        <v>535908.46200000006</v>
      </c>
      <c r="N123" s="672">
        <f>ROUND('T1 ANSP'!O39,$D$121)</f>
        <v>597361.451</v>
      </c>
      <c r="O123" s="672">
        <f>ROUND('T1 ANSP'!P39,$D$121)</f>
        <v>676414.23</v>
      </c>
      <c r="P123" s="16"/>
      <c r="Q123" s="672">
        <f>ROUND('T1 ANSP'!R39,$D$121)</f>
        <v>516797.65100000001</v>
      </c>
    </row>
    <row r="124" spans="1:18" s="38" customFormat="1" ht="15" customHeight="1">
      <c r="A124" s="33" t="s">
        <v>83</v>
      </c>
      <c r="B124" s="34" t="s">
        <v>79</v>
      </c>
      <c r="C124" s="61" t="s">
        <v>84</v>
      </c>
      <c r="D124" s="36">
        <v>3</v>
      </c>
      <c r="E124" s="37" t="b">
        <f>IF(ROUND('T1 ANSP'!F39,$D$124)=0,ROUND('T1 ANSP'!F16,$D$124)=0,TRUE)</f>
        <v>1</v>
      </c>
      <c r="F124" s="37" t="b">
        <f>IF(ROUND('T1 ANSP'!G39,$D$124)=0,ROUND('T1 ANSP'!G16,$D$124)=0,TRUE)</f>
        <v>1</v>
      </c>
      <c r="G124" s="37" t="b">
        <f>IF(ROUND('T1 ANSP'!H39,$D$124)=0,ROUND('T1 ANSP'!H16,$D$124)=0,TRUE)</f>
        <v>1</v>
      </c>
      <c r="H124" s="37" t="b">
        <f>IF(ROUND('T1 ANSP'!I39,$D$124)=0,ROUND('T1 ANSP'!I16,$D$124)=0,TRUE)</f>
        <v>1</v>
      </c>
      <c r="I124" s="37" t="b">
        <f>IF(ROUND('T1 ANSP'!J39,$D$124)=0,ROUND('T1 ANSP'!J16,$D$124)=0,TRUE)</f>
        <v>1</v>
      </c>
      <c r="J124" s="37" t="b">
        <f>IF(ROUND('T1 ANSP'!K39,$D$124)=0,ROUND('T1 ANSP'!K16,$D$124)=0,TRUE)</f>
        <v>1</v>
      </c>
      <c r="K124" s="37" t="b">
        <f>IF(ROUND('T1 ANSP'!L39,$D$124)=0,ROUND('T1 ANSP'!L16,$D$124)=0,TRUE)</f>
        <v>1</v>
      </c>
      <c r="M124" s="37" t="b">
        <f>IF(ROUND('T1 ANSP'!N39,$D$124)=0,ROUND('T1 ANSP'!N16,$D$124)=0,TRUE)</f>
        <v>1</v>
      </c>
      <c r="N124" s="37" t="b">
        <f>IF(ROUND('T1 ANSP'!O39,$D$124)=0,ROUND('T1 ANSP'!O16,$D$124)=0,TRUE)</f>
        <v>1</v>
      </c>
      <c r="O124" s="37" t="b">
        <f>IF(ROUND('T1 ANSP'!P39,$D$124)=0,ROUND('T1 ANSP'!P16,$D$124)=0,TRUE)</f>
        <v>1</v>
      </c>
      <c r="P124" s="16"/>
      <c r="Q124" s="37" t="b">
        <f>IF(ROUND('T1 ANSP'!R39,$D$124)=0,ROUND('T1 ANSP'!R16,$D$124)=0,TRUE)</f>
        <v>1</v>
      </c>
      <c r="R124" s="44"/>
    </row>
    <row r="125" spans="1:18" s="44" customFormat="1" ht="15" customHeight="1" outlineLevel="1">
      <c r="A125" s="39"/>
      <c r="B125" s="40"/>
      <c r="C125" s="41" t="s">
        <v>82</v>
      </c>
      <c r="D125" s="45"/>
      <c r="E125" s="672">
        <f>ROUND('T1 ANSP'!F39,$D$124)</f>
        <v>195167.511</v>
      </c>
      <c r="F125" s="672">
        <f>ROUND('T1 ANSP'!G39,$D$124)</f>
        <v>435470</v>
      </c>
      <c r="G125" s="672">
        <f>ROUND('T1 ANSP'!H39,$D$124)</f>
        <v>485445.01299999998</v>
      </c>
      <c r="H125" s="672">
        <f>ROUND('T1 ANSP'!I39,$D$124)</f>
        <v>483167.89500000002</v>
      </c>
      <c r="I125" s="672">
        <f>ROUND('T1 ANSP'!J39,$D$124)</f>
        <v>355265.76699999999</v>
      </c>
      <c r="J125" s="672">
        <f>ROUND('T1 ANSP'!K39,$D$124)</f>
        <v>516797.65100000001</v>
      </c>
      <c r="K125" s="672">
        <f>ROUND('T1 ANSP'!L39,$D$124)</f>
        <v>531951.31299999997</v>
      </c>
      <c r="M125" s="672">
        <f>ROUND('T1 ANSP'!N39,$D$124)</f>
        <v>535908.46200000006</v>
      </c>
      <c r="N125" s="672">
        <f>ROUND('T1 ANSP'!O39,$D$124)</f>
        <v>597361.451</v>
      </c>
      <c r="O125" s="672">
        <f>ROUND('T1 ANSP'!P39,$D$124)</f>
        <v>676414.23</v>
      </c>
      <c r="P125" s="16"/>
      <c r="Q125" s="672">
        <f>ROUND('T1 ANSP'!R39,$D$124)</f>
        <v>516797.65100000001</v>
      </c>
    </row>
    <row r="126" spans="1:18" s="44" customFormat="1" ht="15" customHeight="1" outlineLevel="1">
      <c r="A126" s="39"/>
      <c r="B126" s="40"/>
      <c r="C126" s="41" t="s">
        <v>85</v>
      </c>
      <c r="D126" s="45"/>
      <c r="E126" s="672">
        <f>ROUND('T1 ANSP'!F16,$D$124)</f>
        <v>14832.731</v>
      </c>
      <c r="F126" s="672">
        <f>ROUND('T1 ANSP'!G16,$D$124)</f>
        <v>33095.500999999997</v>
      </c>
      <c r="G126" s="672">
        <f>ROUND('T1 ANSP'!H16,$D$124)</f>
        <v>36895.667000000001</v>
      </c>
      <c r="H126" s="672">
        <f>ROUND('T1 ANSP'!I16,$D$124)</f>
        <v>36720.76</v>
      </c>
      <c r="I126" s="672">
        <f>ROUND('T1 ANSP'!J16,$D$124)</f>
        <v>27000.198</v>
      </c>
      <c r="J126" s="672">
        <f>ROUND('T1 ANSP'!K16,$D$124)</f>
        <v>30232.663</v>
      </c>
      <c r="K126" s="672">
        <f>ROUND('T1 ANSP'!L16,$D$124)</f>
        <v>31119.151999999998</v>
      </c>
      <c r="M126" s="672">
        <f>ROUND('T1 ANSP'!N16,$D$124)</f>
        <v>31350.645</v>
      </c>
      <c r="N126" s="672">
        <f>ROUND('T1 ANSP'!O16,$D$124)</f>
        <v>34945.644999999997</v>
      </c>
      <c r="O126" s="672">
        <f>ROUND('T1 ANSP'!P16,$D$124)</f>
        <v>39570.232000000004</v>
      </c>
      <c r="P126" s="16"/>
      <c r="Q126" s="672">
        <f>ROUND('T1 ANSP'!R16,$D$124)</f>
        <v>30232.663</v>
      </c>
    </row>
    <row r="127" spans="1:18" s="38" customFormat="1" ht="15" customHeight="1">
      <c r="A127" s="33" t="s">
        <v>351</v>
      </c>
      <c r="B127" s="673" t="s">
        <v>352</v>
      </c>
      <c r="C127" s="674" t="s">
        <v>353</v>
      </c>
      <c r="D127" s="675">
        <v>3</v>
      </c>
      <c r="J127" s="37" t="b">
        <f>IF('T1 ANSP'!K15=0,"N/A",ROUND('T1 ANSP'!K50,$D$127)=ROUND('T1 ANSP'!K15,$D$127))</f>
        <v>1</v>
      </c>
      <c r="K127" s="37" t="b">
        <f>IF('T1 ANSP'!L15=0,"N/A",ROUND('T1 ANSP'!L50,$D$127)=ROUND('T1 ANSP'!L15,$D$127))</f>
        <v>1</v>
      </c>
      <c r="L127" s="37" t="b">
        <f>IF('T1 ANSP'!M15=0,"N/A",ROUND('T1 ANSP'!M50,$D$127)=ROUND('T1 ANSP'!M15,$D$127))</f>
        <v>1</v>
      </c>
      <c r="M127" s="37" t="b">
        <f>IF('T1 ANSP'!N15=0,"N/A",ROUND('T1 ANSP'!N50,$D$127)=ROUND('T1 ANSP'!N15,$D$127))</f>
        <v>1</v>
      </c>
      <c r="N127" s="37" t="b">
        <f>IF('T1 ANSP'!O15=0,"N/A",ROUND('T1 ANSP'!O50,$D$127)=ROUND('T1 ANSP'!O15,$D$127))</f>
        <v>1</v>
      </c>
      <c r="O127" s="37" t="b">
        <f>IF('T1 ANSP'!P15=0,"N/A",ROUND('T1 ANSP'!P50,$D$127)=ROUND('T1 ANSP'!P15,$D$127))</f>
        <v>1</v>
      </c>
      <c r="P127" s="16"/>
      <c r="Q127" s="37" t="b">
        <f>IF('T1 ANSP'!R15=0,"N/A",ROUND('T1 ANSP'!R50,$D$127)=ROUND('T1 ANSP'!R15,$D$127))</f>
        <v>1</v>
      </c>
      <c r="R127" s="44"/>
    </row>
    <row r="128" spans="1:18" s="44" customFormat="1" ht="15" customHeight="1" outlineLevel="1">
      <c r="A128" s="39"/>
      <c r="B128" s="676"/>
      <c r="C128" s="677" t="s">
        <v>539</v>
      </c>
      <c r="D128" s="678"/>
      <c r="E128" s="38"/>
      <c r="F128" s="38"/>
      <c r="J128" s="679">
        <f>IF('T1 ANSP'!K15=0,"N/A",ROUND('T1 ANSP'!K50,$D$127))</f>
        <v>39813.826999999997</v>
      </c>
      <c r="K128" s="679">
        <f>IF('T1 ANSP'!L15=0,"N/A",ROUND('T1 ANSP'!L50,$D$127))</f>
        <v>37238.78</v>
      </c>
      <c r="L128" s="679">
        <f>IF('T1 ANSP'!M15=0,"N/A",ROUND('T1 ANSP'!M50,$D$127))</f>
        <v>77052.607000000004</v>
      </c>
      <c r="M128" s="679">
        <f>IF('T1 ANSP'!N15=0,"N/A",ROUND('T1 ANSP'!N50,$D$127))</f>
        <v>35699.478999999999</v>
      </c>
      <c r="N128" s="679">
        <f>IF('T1 ANSP'!O15=0,"N/A",ROUND('T1 ANSP'!O50,$D$127))</f>
        <v>38376.535000000003</v>
      </c>
      <c r="O128" s="679">
        <f>IF('T1 ANSP'!P15=0,"N/A",ROUND('T1 ANSP'!P50,$D$127))</f>
        <v>38244.631000000001</v>
      </c>
      <c r="P128" s="16"/>
      <c r="Q128" s="679">
        <f>IF('T1 ANSP'!R15=0,"N/A",ROUND('T1 ANSP'!R50,$D$127))</f>
        <v>39813.826999999997</v>
      </c>
    </row>
    <row r="129" spans="1:26" s="44" customFormat="1" ht="15" customHeight="1" outlineLevel="1">
      <c r="A129" s="39"/>
      <c r="B129" s="676"/>
      <c r="C129" s="677" t="s">
        <v>538</v>
      </c>
      <c r="D129" s="678"/>
      <c r="E129" s="38"/>
      <c r="F129" s="38"/>
      <c r="J129" s="679">
        <f>IF('T1 ANSP'!K15=0,"N/A",ROUND('T1 ANSP'!K15,$D$127))</f>
        <v>39813.826999999997</v>
      </c>
      <c r="K129" s="679">
        <f>IF('T1 ANSP'!L15=0,"N/A",ROUND('T1 ANSP'!L15,$D$127))</f>
        <v>37238.78</v>
      </c>
      <c r="L129" s="679">
        <f>IF('T1 ANSP'!M15=0,"N/A",ROUND('T1 ANSP'!M15,$D$127))</f>
        <v>77052.607000000004</v>
      </c>
      <c r="M129" s="679">
        <f>IF('T1 ANSP'!N15=0,"N/A",ROUND('T1 ANSP'!N15,$D$127))</f>
        <v>35699.478999999999</v>
      </c>
      <c r="N129" s="679">
        <f>IF('T1 ANSP'!O15=0,"N/A",ROUND('T1 ANSP'!O15,$D$127))</f>
        <v>38376.535000000003</v>
      </c>
      <c r="O129" s="679">
        <f>IF('T1 ANSP'!P15=0,"N/A",ROUND('T1 ANSP'!P15,$D$127))</f>
        <v>38244.631000000001</v>
      </c>
      <c r="P129" s="16"/>
      <c r="Q129" s="679">
        <f>IF('T1 ANSP'!R15=0,"N/A",ROUND('T1 ANSP'!R15,$D$127))</f>
        <v>39813.826999999997</v>
      </c>
    </row>
    <row r="130" spans="1:26" s="38" customFormat="1" ht="15" customHeight="1">
      <c r="A130" s="33" t="s">
        <v>354</v>
      </c>
      <c r="B130" s="673" t="s">
        <v>355</v>
      </c>
      <c r="C130" s="674" t="s">
        <v>356</v>
      </c>
      <c r="D130" s="675">
        <v>3</v>
      </c>
      <c r="J130" s="1076" t="b">
        <f>IF('T1 ANSP'!K16=0,"N/A",ROUND('T1 ANSP'!K51,$D$130)=ROUND('T1 ANSP'!K36*'T1 ANSP'!K41,$D$130))</f>
        <v>1</v>
      </c>
      <c r="K130" s="1076" t="b">
        <f>IF('T1 ANSP'!L16=0,"N/A",ROUND('T1 ANSP'!L51,$D$130)=ROUND('T1 ANSP'!L36*'T1 ANSP'!L41,$D$130))</f>
        <v>1</v>
      </c>
      <c r="L130" s="1077"/>
      <c r="M130" s="1076" t="b">
        <f>IF('T1 ANSP'!N16=0,"N/A",ROUND('T1 ANSP'!N51,$D$130)=ROUND('T1 ANSP'!N36*'T1 ANSP'!N41,$D$130))</f>
        <v>1</v>
      </c>
      <c r="N130" s="1076" t="b">
        <f>IF('T1 ANSP'!O16=0,"N/A",ROUND('T1 ANSP'!O51,$D$130)=ROUND('T1 ANSP'!O36*'T1 ANSP'!O41,$D$130))</f>
        <v>1</v>
      </c>
      <c r="O130" s="1076" t="b">
        <f>IF('T1 ANSP'!P16=0,"N/A",ROUND('T1 ANSP'!P51,$D$130)=ROUND('T1 ANSP'!P36*'T1 ANSP'!P41,$D$130))</f>
        <v>1</v>
      </c>
      <c r="P130" s="1078"/>
      <c r="Q130" s="1076" t="b">
        <f>IF('T1 ANSP'!R16=0,"N/A",ROUND('T1 ANSP'!R51,$D$130)=ROUND('T1 ANSP'!R36*'T1 ANSP'!R41,$D$130))</f>
        <v>1</v>
      </c>
    </row>
    <row r="131" spans="1:26" s="44" customFormat="1" ht="15" customHeight="1" outlineLevel="1">
      <c r="A131" s="39"/>
      <c r="B131" s="676"/>
      <c r="C131" s="677" t="s">
        <v>357</v>
      </c>
      <c r="D131" s="678"/>
      <c r="E131" s="38"/>
      <c r="F131" s="38"/>
      <c r="J131" s="1081">
        <f>IF('T1 ANSP'!K16=0,"N/A",ROUND('T1 ANSP'!K51,$D$130))</f>
        <v>30232.663</v>
      </c>
      <c r="K131" s="1081">
        <f>IF('T1 ANSP'!L16=0,"N/A",ROUND('T1 ANSP'!L51,$D$130))</f>
        <v>31119.151999999998</v>
      </c>
      <c r="L131" s="1080"/>
      <c r="M131" s="1081">
        <f>IF('T1 ANSP'!N16=0,"N/A",ROUND('T1 ANSP'!N51,$D$130))</f>
        <v>31350.645</v>
      </c>
      <c r="N131" s="1081">
        <f>IF('T1 ANSP'!O16=0,"N/A",ROUND('T1 ANSP'!O51,$D$130))</f>
        <v>34945.644999999997</v>
      </c>
      <c r="O131" s="1081">
        <f>IF('T1 ANSP'!P16=0,"N/A",ROUND('T1 ANSP'!P51,$D$130))</f>
        <v>39570.232000000004</v>
      </c>
      <c r="P131" s="1078"/>
      <c r="Q131" s="1081">
        <f>IF('T1 ANSP'!R16=0,"N/A",ROUND('T1 ANSP'!R51,$D$130))</f>
        <v>30232.663</v>
      </c>
    </row>
    <row r="132" spans="1:26" s="44" customFormat="1" ht="15" customHeight="1" outlineLevel="1">
      <c r="A132" s="39"/>
      <c r="B132" s="676"/>
      <c r="C132" s="677" t="s">
        <v>358</v>
      </c>
      <c r="D132" s="678"/>
      <c r="E132" s="38"/>
      <c r="F132" s="38"/>
      <c r="J132" s="1081">
        <f>IF('T1 ANSP'!K16=0,"N/A",ROUND('T1 ANSP'!K36*'T1 ANSP'!K41,$D$130))</f>
        <v>30232.663</v>
      </c>
      <c r="K132" s="1081">
        <f>IF('T1 ANSP'!L16=0,"N/A",ROUND('T1 ANSP'!L36*'T1 ANSP'!L41,$D$130))</f>
        <v>31119.151999999998</v>
      </c>
      <c r="L132" s="1080"/>
      <c r="M132" s="1081">
        <f>IF('T1 ANSP'!N16=0,"N/A",ROUND('T1 ANSP'!N36*'T1 ANSP'!N41,$D$130))</f>
        <v>31350.645</v>
      </c>
      <c r="N132" s="1081">
        <f>IF('T1 ANSP'!O16=0,"N/A",ROUND('T1 ANSP'!O36*'T1 ANSP'!O41,$D$130))</f>
        <v>34945.644999999997</v>
      </c>
      <c r="O132" s="1081">
        <f>IF('T1 ANSP'!P16=0,"N/A",ROUND('T1 ANSP'!P36*'T1 ANSP'!P41,$D$130))</f>
        <v>39570.232000000004</v>
      </c>
      <c r="P132" s="1078"/>
      <c r="Q132" s="1081">
        <f>IF('T1 ANSP'!R16=0,"N/A",ROUND('T1 ANSP'!R36*'T1 ANSP'!R41,$D$130))</f>
        <v>30232.663</v>
      </c>
    </row>
    <row r="133" spans="1:26" s="51" customFormat="1" ht="18.75">
      <c r="A133" s="27" t="s">
        <v>13</v>
      </c>
      <c r="B133" s="28" t="s">
        <v>14</v>
      </c>
      <c r="C133" s="29" t="s">
        <v>668</v>
      </c>
      <c r="D133" s="49"/>
      <c r="E133" s="50"/>
      <c r="F133" s="50"/>
      <c r="G133" s="50"/>
      <c r="H133" s="50"/>
      <c r="I133" s="50"/>
      <c r="J133" s="50"/>
      <c r="K133" s="50"/>
      <c r="L133" s="50"/>
      <c r="M133" s="50"/>
      <c r="N133" s="50"/>
      <c r="O133" s="50"/>
      <c r="P133" s="16"/>
      <c r="Q133" s="50"/>
      <c r="R133" s="16"/>
      <c r="S133" s="16"/>
      <c r="T133" s="16"/>
    </row>
    <row r="134" spans="1:26" s="65" customFormat="1" ht="15" customHeight="1">
      <c r="A134" s="52" t="s">
        <v>20</v>
      </c>
      <c r="B134" s="34" t="s">
        <v>21</v>
      </c>
      <c r="C134" s="35" t="s">
        <v>22</v>
      </c>
      <c r="D134" s="53">
        <v>3</v>
      </c>
      <c r="E134" s="37" t="b">
        <f>ROUND('T1 MET'!F18,$D$134)=ROUND(('T1 MET'!F12+SUM('T1 MET'!F14:F17)),$D$134)</f>
        <v>1</v>
      </c>
      <c r="F134" s="37" t="b">
        <f>ROUND('T1 MET'!G18,$D$134)=ROUND(('T1 MET'!G12+SUM('T1 MET'!G14:G17)),$D$134)</f>
        <v>1</v>
      </c>
      <c r="G134" s="37" t="b">
        <f>ROUND('T1 MET'!H18,$D$134)=ROUND(('T1 MET'!H12+SUM('T1 MET'!H14:H17)),$D$134)</f>
        <v>1</v>
      </c>
      <c r="H134" s="37" t="b">
        <f>ROUND('T1 MET'!I18,$D$134)=ROUND(('T1 MET'!I12+SUM('T1 MET'!I14:I17)),$D$134)</f>
        <v>1</v>
      </c>
      <c r="I134" s="37" t="b">
        <f>ROUND('T1 MET'!J18,$D$134)=ROUND(('T1 MET'!J12+SUM('T1 MET'!J14:J17)),$D$134)</f>
        <v>1</v>
      </c>
      <c r="J134" s="37" t="b">
        <f>ROUND('T1 MET'!K18,$D$134)=ROUND(('T1 MET'!K12+SUM('T1 MET'!K14:K17)),$D$134)</f>
        <v>1</v>
      </c>
      <c r="K134" s="37" t="b">
        <f>ROUND('T1 MET'!L18,$D$134)=ROUND(('T1 MET'!L12+SUM('T1 MET'!L14:L17)),$D$134)</f>
        <v>1</v>
      </c>
      <c r="L134" s="37" t="b">
        <f>ROUND('T1 MET'!M18,$D$134)=ROUND(('T1 MET'!M12+SUM('T1 MET'!M14:M17)),$D$134)</f>
        <v>1</v>
      </c>
      <c r="M134" s="37" t="b">
        <f>ROUND('T1 MET'!N18,$D$134)=ROUND(('T1 MET'!N12+SUM('T1 MET'!N14:N17)),$D$134)</f>
        <v>1</v>
      </c>
      <c r="N134" s="37" t="b">
        <f>ROUND('T1 MET'!O18,$D$134)=ROUND(('T1 MET'!O12+SUM('T1 MET'!O14:O17)),$D$134)</f>
        <v>1</v>
      </c>
      <c r="O134" s="37" t="b">
        <f>ROUND('T1 MET'!P18,$D$134)=ROUND(('T1 MET'!P12+SUM('T1 MET'!P14:P17)),$D$134)</f>
        <v>1</v>
      </c>
      <c r="P134" s="16"/>
      <c r="Q134" s="37" t="b">
        <f>ROUND('T1 MET'!R18,$D$134)=ROUND(('T1 MET'!R12+SUM('T1 MET'!R14:R17)),$D$134)</f>
        <v>1</v>
      </c>
      <c r="R134" s="16"/>
      <c r="S134" s="16"/>
      <c r="T134" s="16"/>
    </row>
    <row r="135" spans="1:26" s="65" customFormat="1" ht="15" customHeight="1" outlineLevel="1">
      <c r="A135" s="54"/>
      <c r="B135" s="55"/>
      <c r="C135" s="41" t="s">
        <v>531</v>
      </c>
      <c r="D135" s="45"/>
      <c r="E135" s="672">
        <f>ROUND('T1 MET'!F18,$D$134)</f>
        <v>6988.4769999999999</v>
      </c>
      <c r="F135" s="672">
        <f>ROUND('T1 MET'!G18,$D$134)</f>
        <v>5045</v>
      </c>
      <c r="G135" s="672">
        <f>ROUND('T1 MET'!H18,$D$134)</f>
        <v>5423.8119999999999</v>
      </c>
      <c r="H135" s="672">
        <f>ROUND('T1 MET'!I18,$D$134)</f>
        <v>5748.7719999999999</v>
      </c>
      <c r="I135" s="672">
        <f>ROUND('T1 MET'!J18,$D$134)</f>
        <v>5690.92</v>
      </c>
      <c r="J135" s="672">
        <f>ROUND('T1 MET'!K18,$D$134)</f>
        <v>7949.491</v>
      </c>
      <c r="K135" s="672">
        <f>ROUND('T1 MET'!L18,$D$134)</f>
        <v>8124.38</v>
      </c>
      <c r="L135" s="672">
        <f>ROUND('T1 MET'!M18,$D$134)</f>
        <v>16073.870999999999</v>
      </c>
      <c r="M135" s="672">
        <f>ROUND('T1 MET'!N18,$D$134)</f>
        <v>8286.8670000000002</v>
      </c>
      <c r="N135" s="672">
        <f>ROUND('T1 MET'!O18,$D$134)</f>
        <v>8452.6049999999996</v>
      </c>
      <c r="O135" s="672">
        <f>ROUND('T1 MET'!P18,$D$134)</f>
        <v>8621.6569999999992</v>
      </c>
      <c r="P135" s="16"/>
      <c r="Q135" s="672">
        <f>ROUND('T1 MET'!R18,$D$134)</f>
        <v>7949.491</v>
      </c>
      <c r="R135" s="16"/>
      <c r="S135" s="16"/>
      <c r="T135" s="16"/>
    </row>
    <row r="136" spans="1:26" s="65" customFormat="1" ht="15" customHeight="1" outlineLevel="1">
      <c r="A136" s="54"/>
      <c r="B136" s="40"/>
      <c r="C136" s="41" t="s">
        <v>532</v>
      </c>
      <c r="D136" s="45"/>
      <c r="E136" s="672">
        <f>ROUND(('T1 MET'!F12+SUM('T1 MET'!F14:F17)),$D$134)</f>
        <v>6988.4769999999999</v>
      </c>
      <c r="F136" s="672">
        <f>ROUND(('T1 MET'!G12+SUM('T1 MET'!G14:G17)),$D$134)</f>
        <v>5045</v>
      </c>
      <c r="G136" s="672">
        <f>ROUND(('T1 MET'!H12+SUM('T1 MET'!H14:H17)),$D$134)</f>
        <v>5423.8119999999999</v>
      </c>
      <c r="H136" s="672">
        <f>ROUND(('T1 MET'!I12+SUM('T1 MET'!I14:I17)),$D$134)</f>
        <v>5748.7719999999999</v>
      </c>
      <c r="I136" s="672">
        <f>ROUND(('T1 MET'!J12+SUM('T1 MET'!J14:J17)),$D$134)</f>
        <v>5690.92</v>
      </c>
      <c r="J136" s="672">
        <f>ROUND(('T1 MET'!K12+SUM('T1 MET'!K14:K17)),$D$134)</f>
        <v>7949.491</v>
      </c>
      <c r="K136" s="672">
        <f>ROUND(('T1 MET'!L12+SUM('T1 MET'!L14:L17)),$D$134)</f>
        <v>8124.38</v>
      </c>
      <c r="L136" s="672">
        <f>ROUND(('T1 MET'!M12+SUM('T1 MET'!M14:M17)),$D$134)</f>
        <v>16073.870999999999</v>
      </c>
      <c r="M136" s="672">
        <f>ROUND(('T1 MET'!N12+SUM('T1 MET'!N14:N17)),$D$134)</f>
        <v>8286.8670000000002</v>
      </c>
      <c r="N136" s="672">
        <f>ROUND(('T1 MET'!O12+SUM('T1 MET'!O14:O17)),$D$134)</f>
        <v>8452.6049999999996</v>
      </c>
      <c r="O136" s="672">
        <f>ROUND(('T1 MET'!P12+SUM('T1 MET'!P14:P17)),$D$134)</f>
        <v>8621.6569999999992</v>
      </c>
      <c r="P136" s="16"/>
      <c r="Q136" s="672">
        <f>ROUND(('T1 MET'!R12+SUM('T1 MET'!R14:R17)),$D$134)</f>
        <v>7949.491</v>
      </c>
      <c r="R136" s="16"/>
      <c r="S136" s="16"/>
      <c r="T136" s="16"/>
    </row>
    <row r="137" spans="1:26" s="65" customFormat="1" ht="15" customHeight="1">
      <c r="A137" s="52" t="s">
        <v>25</v>
      </c>
      <c r="B137" s="34" t="s">
        <v>26</v>
      </c>
      <c r="C137" s="35" t="s">
        <v>27</v>
      </c>
      <c r="D137" s="53">
        <v>3</v>
      </c>
      <c r="E137" s="37" t="b">
        <f>ROUND('T1 MET'!F31,$D$137)=ROUND(SUM('T1 MET'!F22:F30),$D$137)</f>
        <v>1</v>
      </c>
      <c r="F137" s="37" t="b">
        <f>ROUND('T1 MET'!G31,$D$137)=ROUND(SUM('T1 MET'!G22:G30),$D$137)</f>
        <v>1</v>
      </c>
      <c r="G137" s="37" t="b">
        <f>ROUND('T1 MET'!H31,$D$137)=ROUND(SUM('T1 MET'!H22:H30),$D$137)</f>
        <v>1</v>
      </c>
      <c r="H137" s="37" t="b">
        <f>ROUND('T1 MET'!I31,$D$137)=ROUND(SUM('T1 MET'!I22:I30),$D$137)</f>
        <v>1</v>
      </c>
      <c r="I137" s="37" t="b">
        <f>ROUND('T1 MET'!J31,$D$137)=ROUND(SUM('T1 MET'!J22:J30),$D$137)</f>
        <v>1</v>
      </c>
      <c r="J137" s="37" t="b">
        <f>ROUND('T1 MET'!K31,$D$137)=ROUND(SUM('T1 MET'!K22:K30),$D$137)</f>
        <v>1</v>
      </c>
      <c r="K137" s="37" t="b">
        <f>ROUND('T1 MET'!L31,$D$137)=ROUND(SUM('T1 MET'!L22:L30),$D$137)</f>
        <v>1</v>
      </c>
      <c r="L137" s="37" t="b">
        <f>ROUND('T1 MET'!M31,$D$137)=ROUND(SUM('T1 MET'!M22:M30),$D$137)</f>
        <v>1</v>
      </c>
      <c r="M137" s="37" t="b">
        <f>ROUND('T1 MET'!N31,$D$137)=ROUND(SUM('T1 MET'!N22:N30),$D$137)</f>
        <v>1</v>
      </c>
      <c r="N137" s="37" t="b">
        <f>ROUND('T1 MET'!O31,$D$137)=ROUND(SUM('T1 MET'!O22:O30),$D$137)</f>
        <v>1</v>
      </c>
      <c r="O137" s="37" t="b">
        <f>ROUND('T1 MET'!P31,$D$137)=ROUND(SUM('T1 MET'!P22:P30),$D$137)</f>
        <v>1</v>
      </c>
      <c r="P137" s="16"/>
      <c r="Q137" s="37" t="b">
        <f>ROUND('T1 MET'!R31,$D$137)=ROUND(SUM('T1 MET'!R22:R30),$D$137)</f>
        <v>1</v>
      </c>
      <c r="R137" s="16"/>
      <c r="S137" s="16"/>
      <c r="T137" s="16"/>
    </row>
    <row r="138" spans="1:26" s="65" customFormat="1" ht="15" customHeight="1" outlineLevel="1">
      <c r="A138" s="54"/>
      <c r="B138" s="40"/>
      <c r="C138" s="41" t="s">
        <v>533</v>
      </c>
      <c r="D138" s="45"/>
      <c r="E138" s="672">
        <f>ROUND('T1 MET'!F31,$D$137)</f>
        <v>6988.4769999999999</v>
      </c>
      <c r="F138" s="672">
        <f>ROUND('T1 MET'!G31,$D$137)</f>
        <v>5045</v>
      </c>
      <c r="G138" s="672">
        <f>ROUND('T1 MET'!H31,$D$137)</f>
        <v>5423.8119999999999</v>
      </c>
      <c r="H138" s="672">
        <f>ROUND('T1 MET'!I31,$D$137)</f>
        <v>5748.7719999999999</v>
      </c>
      <c r="I138" s="672">
        <f>ROUND('T1 MET'!J31,$D$137)</f>
        <v>5690.92</v>
      </c>
      <c r="J138" s="672">
        <f>ROUND('T1 MET'!K31,$D$137)</f>
        <v>7949.491</v>
      </c>
      <c r="K138" s="672">
        <f>ROUND('T1 MET'!L31,$D$137)</f>
        <v>8124.38</v>
      </c>
      <c r="L138" s="672">
        <f>ROUND('T1 MET'!M31,$D$137)</f>
        <v>16073.870999999999</v>
      </c>
      <c r="M138" s="672">
        <f>ROUND('T1 MET'!N31,$D$137)</f>
        <v>8286.8670000000002</v>
      </c>
      <c r="N138" s="672">
        <f>ROUND('T1 MET'!O31,$D$137)</f>
        <v>8452.6049999999996</v>
      </c>
      <c r="O138" s="672">
        <f>ROUND('T1 MET'!P31,$D$137)</f>
        <v>8621.6569999999992</v>
      </c>
      <c r="P138" s="16"/>
      <c r="Q138" s="672">
        <f>ROUND('T1 MET'!R31,$D$137)</f>
        <v>7949.491</v>
      </c>
      <c r="R138" s="16"/>
      <c r="S138" s="16"/>
      <c r="T138" s="16"/>
    </row>
    <row r="139" spans="1:26" s="65" customFormat="1" ht="15" customHeight="1" outlineLevel="1">
      <c r="A139" s="54"/>
      <c r="B139" s="40"/>
      <c r="C139" s="41" t="s">
        <v>534</v>
      </c>
      <c r="D139" s="45"/>
      <c r="E139" s="672">
        <f>ROUND(SUM('T1 MET'!F22:F30),$D$137)</f>
        <v>6988.4769999999999</v>
      </c>
      <c r="F139" s="672">
        <f>ROUND(SUM('T1 MET'!G22:G30),$D$137)</f>
        <v>5045</v>
      </c>
      <c r="G139" s="672">
        <f>ROUND(SUM('T1 MET'!H22:H30),$D$137)</f>
        <v>5423.8119999999999</v>
      </c>
      <c r="H139" s="672">
        <f>ROUND(SUM('T1 MET'!I22:I30),$D$137)</f>
        <v>5748.7719999999999</v>
      </c>
      <c r="I139" s="672">
        <f>ROUND(SUM('T1 MET'!J22:J30),$D$137)</f>
        <v>5690.92</v>
      </c>
      <c r="J139" s="672">
        <f>ROUND(SUM('T1 MET'!K22:K30),$D$137)</f>
        <v>7949.491</v>
      </c>
      <c r="K139" s="672">
        <f>ROUND(SUM('T1 MET'!L22:L30),$D$137)</f>
        <v>8124.38</v>
      </c>
      <c r="L139" s="672">
        <f>ROUND(SUM('T1 MET'!M22:M30),$D$137)</f>
        <v>16073.870999999999</v>
      </c>
      <c r="M139" s="672">
        <f>ROUND(SUM('T1 MET'!N22:N30),$D$137)</f>
        <v>8286.8670000000002</v>
      </c>
      <c r="N139" s="672">
        <f>ROUND(SUM('T1 MET'!O22:O30),$D$137)</f>
        <v>8452.6049999999996</v>
      </c>
      <c r="O139" s="672">
        <f>ROUND(SUM('T1 MET'!P22:P30),$D$137)</f>
        <v>8621.6569999999992</v>
      </c>
      <c r="P139" s="16"/>
      <c r="Q139" s="672">
        <f>ROUND(SUM('T1 MET'!R22:R30),$D$137)</f>
        <v>7949.491</v>
      </c>
      <c r="R139" s="16"/>
      <c r="S139" s="16"/>
      <c r="T139" s="16"/>
    </row>
    <row r="140" spans="1:26" s="65" customFormat="1" ht="15" customHeight="1">
      <c r="A140" s="56" t="s">
        <v>30</v>
      </c>
      <c r="B140" s="34" t="s">
        <v>49</v>
      </c>
      <c r="C140" s="35" t="s">
        <v>31</v>
      </c>
      <c r="D140" s="53">
        <v>3</v>
      </c>
      <c r="E140" s="37" t="b">
        <f>ROUND('T1 MET'!F18,$D$140)=ROUND('T1 MET'!F31,$D$140)</f>
        <v>1</v>
      </c>
      <c r="F140" s="37" t="b">
        <f>ROUND('T1 MET'!G18,$D$140)=ROUND('T1 MET'!G31,$D$140)</f>
        <v>1</v>
      </c>
      <c r="G140" s="37" t="b">
        <f>ROUND('T1 MET'!H18,$D$140)=ROUND('T1 MET'!H31,$D$140)</f>
        <v>1</v>
      </c>
      <c r="H140" s="37" t="b">
        <f>ROUND('T1 MET'!I18,$D$140)=ROUND('T1 MET'!I31,$D$140)</f>
        <v>1</v>
      </c>
      <c r="I140" s="37" t="b">
        <f>ROUND('T1 MET'!J18,$D$140)=ROUND('T1 MET'!J31,$D$140)</f>
        <v>1</v>
      </c>
      <c r="J140" s="37" t="b">
        <f>ROUND('T1 MET'!K18,$D$140)=ROUND('T1 MET'!K31,$D$140)</f>
        <v>1</v>
      </c>
      <c r="K140" s="37" t="b">
        <f>ROUND('T1 MET'!L18,$D$140)=ROUND('T1 MET'!L31,$D$140)</f>
        <v>1</v>
      </c>
      <c r="L140" s="37" t="b">
        <f>ROUND('T1 MET'!M18,$D$140)=ROUND('T1 MET'!M31,$D$140)</f>
        <v>1</v>
      </c>
      <c r="M140" s="37" t="b">
        <f>ROUND('T1 MET'!N18,$D$140)=ROUND('T1 MET'!N31,$D$140)</f>
        <v>1</v>
      </c>
      <c r="N140" s="37" t="b">
        <f>ROUND('T1 MET'!O18,$D$140)=ROUND('T1 MET'!O31,$D$140)</f>
        <v>1</v>
      </c>
      <c r="O140" s="37" t="b">
        <f>ROUND('T1 MET'!P18,$D$140)=ROUND('T1 MET'!P31,$D$140)</f>
        <v>1</v>
      </c>
      <c r="P140" s="16"/>
      <c r="Q140" s="37" t="b">
        <f>ROUND('T1 MET'!R18,$D$140)=ROUND('T1 MET'!R31,$D$140)</f>
        <v>1</v>
      </c>
      <c r="R140" s="16"/>
      <c r="S140" s="16"/>
      <c r="T140" s="16"/>
    </row>
    <row r="141" spans="1:26" s="65" customFormat="1" ht="15" customHeight="1" outlineLevel="1">
      <c r="A141" s="57"/>
      <c r="B141" s="40"/>
      <c r="C141" s="41" t="s">
        <v>531</v>
      </c>
      <c r="D141" s="45"/>
      <c r="E141" s="672">
        <f>ROUND('T1 MET'!F18,$D$140)</f>
        <v>6988.4769999999999</v>
      </c>
      <c r="F141" s="672">
        <f>ROUND('T1 MET'!G18,$D$140)</f>
        <v>5045</v>
      </c>
      <c r="G141" s="672">
        <f>ROUND('T1 MET'!H18,$D$140)</f>
        <v>5423.8119999999999</v>
      </c>
      <c r="H141" s="672">
        <f>ROUND('T1 MET'!I18,$D$140)</f>
        <v>5748.7719999999999</v>
      </c>
      <c r="I141" s="672">
        <f>ROUND('T1 MET'!J18,$D$140)</f>
        <v>5690.92</v>
      </c>
      <c r="J141" s="672">
        <f>ROUND('T1 MET'!K18,$D$140)</f>
        <v>7949.491</v>
      </c>
      <c r="K141" s="672">
        <f>ROUND('T1 MET'!L18,$D$140)</f>
        <v>8124.38</v>
      </c>
      <c r="L141" s="672">
        <f>ROUND('T1 MET'!M18,$D$140)</f>
        <v>16073.870999999999</v>
      </c>
      <c r="M141" s="672">
        <f>ROUND('T1 MET'!N18,$D$140)</f>
        <v>8286.8670000000002</v>
      </c>
      <c r="N141" s="672">
        <f>ROUND('T1 MET'!O18,$D$140)</f>
        <v>8452.6049999999996</v>
      </c>
      <c r="O141" s="672">
        <f>ROUND('T1 MET'!P18,$D$140)</f>
        <v>8621.6569999999992</v>
      </c>
      <c r="P141" s="16"/>
      <c r="Q141" s="672">
        <f>ROUND('T1 MET'!R18,$D$140)</f>
        <v>7949.491</v>
      </c>
      <c r="R141" s="16"/>
      <c r="S141" s="16"/>
      <c r="T141" s="16"/>
    </row>
    <row r="142" spans="1:26" s="65" customFormat="1" ht="15" customHeight="1" outlineLevel="1">
      <c r="A142" s="57"/>
      <c r="B142" s="40"/>
      <c r="C142" s="41" t="s">
        <v>533</v>
      </c>
      <c r="D142" s="45"/>
      <c r="E142" s="672">
        <f>ROUND('T1 MET'!F31,$D$140)</f>
        <v>6988.4769999999999</v>
      </c>
      <c r="F142" s="672">
        <f>ROUND('T1 MET'!G31,$D$140)</f>
        <v>5045</v>
      </c>
      <c r="G142" s="672">
        <f>ROUND('T1 MET'!H31,$D$140)</f>
        <v>5423.8119999999999</v>
      </c>
      <c r="H142" s="672">
        <f>ROUND('T1 MET'!I31,$D$140)</f>
        <v>5748.7719999999999</v>
      </c>
      <c r="I142" s="672">
        <f>ROUND('T1 MET'!J31,$D$140)</f>
        <v>5690.92</v>
      </c>
      <c r="J142" s="672">
        <f>ROUND('T1 MET'!K31,$D$140)</f>
        <v>7949.491</v>
      </c>
      <c r="K142" s="672">
        <f>ROUND('T1 MET'!L31,$D$140)</f>
        <v>8124.38</v>
      </c>
      <c r="L142" s="672">
        <f>ROUND('T1 MET'!M31,$D$140)</f>
        <v>16073.870999999999</v>
      </c>
      <c r="M142" s="672">
        <f>ROUND('T1 MET'!N31,$D$140)</f>
        <v>8286.8670000000002</v>
      </c>
      <c r="N142" s="672">
        <f>ROUND('T1 MET'!O31,$D$140)</f>
        <v>8452.6049999999996</v>
      </c>
      <c r="O142" s="672">
        <f>ROUND('T1 MET'!P31,$D$140)</f>
        <v>8621.6569999999992</v>
      </c>
      <c r="P142" s="16"/>
      <c r="Q142" s="672">
        <f>ROUND('T1 MET'!R31,$D$140)</f>
        <v>7949.491</v>
      </c>
      <c r="R142" s="16"/>
      <c r="S142" s="16"/>
      <c r="T142" s="16"/>
    </row>
    <row r="143" spans="1:26" s="38" customFormat="1" ht="15" customHeight="1">
      <c r="A143" s="33" t="s">
        <v>493</v>
      </c>
      <c r="B143" s="673" t="s">
        <v>362</v>
      </c>
      <c r="C143" s="704" t="s">
        <v>494</v>
      </c>
      <c r="D143" s="675">
        <v>3</v>
      </c>
      <c r="J143" s="37" t="b">
        <f>ROUND('T1 MET'!K13,$D$143)&gt;0</f>
        <v>0</v>
      </c>
      <c r="K143" s="37" t="b">
        <f>ROUND('T1 MET'!L13,$D$143)&gt;0</f>
        <v>0</v>
      </c>
      <c r="L143" s="37" t="b">
        <f>ROUND('T1 MET'!M13,$D$143)&gt;0</f>
        <v>0</v>
      </c>
      <c r="M143" s="37" t="b">
        <f>ROUND('T1 MET'!N13,$D$143)&gt;0</f>
        <v>0</v>
      </c>
      <c r="N143" s="37" t="b">
        <f>ROUND('T1 MET'!O13,$D$143)&gt;0</f>
        <v>0</v>
      </c>
      <c r="O143" s="37" t="b">
        <f>ROUND('T1 MET'!P13,$D$143)&gt;0</f>
        <v>0</v>
      </c>
      <c r="P143" s="16"/>
      <c r="Q143" s="37" t="b">
        <f>ROUND('T1 MET'!R13,$D$143)&gt;0</f>
        <v>0</v>
      </c>
    </row>
    <row r="144" spans="1:26" s="44" customFormat="1" ht="15" customHeight="1" outlineLevel="1">
      <c r="A144" s="46"/>
      <c r="B144" s="676"/>
      <c r="C144" s="677" t="s">
        <v>535</v>
      </c>
      <c r="D144" s="678"/>
      <c r="J144" s="672">
        <f>ROUND('T1 MET'!K13,$D$143)</f>
        <v>0</v>
      </c>
      <c r="K144" s="672">
        <f>ROUND('T1 MET'!L13,$D$143)</f>
        <v>0</v>
      </c>
      <c r="L144" s="672">
        <f>ROUND('T1 MET'!M13,$D$143)</f>
        <v>0</v>
      </c>
      <c r="M144" s="672">
        <f>ROUND('T1 MET'!N13,$D$143)</f>
        <v>0</v>
      </c>
      <c r="N144" s="672">
        <f>ROUND('T1 MET'!O13,$D$143)</f>
        <v>0</v>
      </c>
      <c r="O144" s="672">
        <f>ROUND('T1 MET'!P13,$D$143)</f>
        <v>0</v>
      </c>
      <c r="P144" s="16"/>
      <c r="Q144" s="672">
        <f>ROUND('T1 MET'!R13,$D$143)</f>
        <v>0</v>
      </c>
      <c r="R144" s="38"/>
      <c r="S144" s="38"/>
      <c r="T144" s="38"/>
      <c r="U144" s="38"/>
      <c r="V144" s="38"/>
      <c r="W144" s="38"/>
      <c r="X144" s="38"/>
      <c r="Y144" s="38"/>
      <c r="Z144" s="38"/>
    </row>
    <row r="145" spans="1:20" s="65" customFormat="1" ht="15" customHeight="1">
      <c r="A145" s="52" t="s">
        <v>36</v>
      </c>
      <c r="B145" s="34" t="s">
        <v>37</v>
      </c>
      <c r="C145" s="35" t="s">
        <v>38</v>
      </c>
      <c r="D145" s="36">
        <v>2</v>
      </c>
      <c r="E145" s="37" t="b">
        <f>ROUND('T1 MET'!G65/(1+'T1'!G64),$D$145)=ROUND('T1 MET'!F65,$D$145)</f>
        <v>1</v>
      </c>
      <c r="F145" s="37" t="b">
        <f>ROUND('T1 MET'!F65*(1+'T1'!G64),$D$145)=ROUND('T1 MET'!G65,$D$145)</f>
        <v>1</v>
      </c>
      <c r="G145" s="37" t="b">
        <f>ROUND('T1 MET'!G65*(1+'T1'!H64),$D$145)=ROUND('T1 MET'!H65,$D$145)</f>
        <v>1</v>
      </c>
      <c r="H145" s="37" t="b">
        <f>ROUND('T1 MET'!H65*(1+'T1'!I64),$D$145)=ROUND('T1 MET'!I65,$D$145)</f>
        <v>1</v>
      </c>
      <c r="I145" s="37" t="b">
        <f>ROUND('T1 MET'!I65*(1+'T1'!J64),$D$145)=ROUND('T1 MET'!J65,$D$145)</f>
        <v>1</v>
      </c>
      <c r="J145" s="37" t="b">
        <f>ROUND('T1 MET'!J65*(1+'T1'!K64),$D$145)=ROUND('T1 MET'!K65,$D$145)</f>
        <v>1</v>
      </c>
      <c r="K145" s="37" t="b">
        <f>ROUND('T1 MET'!K65*(1+'T1'!L64),$D$145)=ROUND('T1 MET'!L65,$D$145)</f>
        <v>1</v>
      </c>
      <c r="L145" s="38"/>
      <c r="M145" s="37" t="b">
        <f>ROUND('T1 MET'!L65*(1+'T1'!N64),$D$145)=ROUND('T1 MET'!N65,$D$145)</f>
        <v>1</v>
      </c>
      <c r="N145" s="37" t="b">
        <f>ROUND('T1 MET'!N65*(1+'T1'!O64),$D$145)=ROUND('T1 MET'!O65,$D$145)</f>
        <v>1</v>
      </c>
      <c r="O145" s="37" t="b">
        <f>ROUND('T1 MET'!O65*(1+'T1'!P64),$D$145)=ROUND('T1 MET'!P65,$D$145)</f>
        <v>1</v>
      </c>
      <c r="P145" s="16"/>
      <c r="Q145" s="37" t="b">
        <f>ROUND('T1 MET'!J65*(1+'T1'!R64),$D$145)=ROUND('T1 MET'!R65,$D$145)</f>
        <v>1</v>
      </c>
      <c r="R145" s="38"/>
      <c r="S145" s="16"/>
      <c r="T145" s="16"/>
    </row>
    <row r="146" spans="1:20" s="65" customFormat="1" ht="15" customHeight="1" outlineLevel="1">
      <c r="A146" s="54"/>
      <c r="B146" s="40"/>
      <c r="C146" s="41" t="s">
        <v>39</v>
      </c>
      <c r="D146" s="45"/>
      <c r="E146" s="48">
        <f>ROUND('T1 MET'!G65/(1+'T1'!G64),$D$145)</f>
        <v>94.45</v>
      </c>
      <c r="F146" s="48">
        <f>ROUND('T1 MET'!F65*(1+'T1'!G64),$D$145)</f>
        <v>98.14</v>
      </c>
      <c r="G146" s="48">
        <f>ROUND('T1 MET'!G65*(1+'T1'!H64),$D$145)</f>
        <v>100</v>
      </c>
      <c r="H146" s="48">
        <f>ROUND('T1 MET'!H65*(1+'T1'!I64),$D$145)</f>
        <v>103</v>
      </c>
      <c r="I146" s="48">
        <f>ROUND('T1 MET'!I65*(1+'T1'!J64),$D$145)</f>
        <v>105.37</v>
      </c>
      <c r="J146" s="48">
        <f>ROUND('T1 MET'!J65*(1+'T1'!K64),$D$145)</f>
        <v>106.63</v>
      </c>
      <c r="K146" s="48">
        <f>ROUND('T1 MET'!K65*(1+'T1'!L64),$D$145)</f>
        <v>108.98</v>
      </c>
      <c r="L146" s="38"/>
      <c r="M146" s="48">
        <f>ROUND('T1 MET'!L65*(1+'T1'!N64),$D$145)</f>
        <v>111.16</v>
      </c>
      <c r="N146" s="48">
        <f>ROUND('T1 MET'!N65*(1+'T1'!O64),$D$145)</f>
        <v>113.38</v>
      </c>
      <c r="O146" s="48">
        <f>ROUND('T1 MET'!O65*(1+'T1'!P64),$D$145)</f>
        <v>115.65</v>
      </c>
      <c r="P146" s="16"/>
      <c r="Q146" s="48">
        <f>ROUND('T1 MET'!J65*(1+'T1'!R64),$D$145)</f>
        <v>106.63</v>
      </c>
      <c r="R146" s="38"/>
      <c r="S146" s="16"/>
      <c r="T146" s="44"/>
    </row>
    <row r="147" spans="1:20" s="65" customFormat="1" ht="15" customHeight="1" outlineLevel="1">
      <c r="A147" s="54"/>
      <c r="B147" s="40"/>
      <c r="C147" s="41" t="s">
        <v>40</v>
      </c>
      <c r="D147" s="45"/>
      <c r="E147" s="48">
        <f>ROUND('T1 MET'!F65,$D$145)</f>
        <v>94.45</v>
      </c>
      <c r="F147" s="48">
        <f>ROUND('T1 MET'!G65,$D$145)</f>
        <v>98.14</v>
      </c>
      <c r="G147" s="48">
        <f>ROUND('T1 MET'!H65,$D$145)</f>
        <v>100</v>
      </c>
      <c r="H147" s="48">
        <f>ROUND('T1 MET'!I65,$D$145)</f>
        <v>103</v>
      </c>
      <c r="I147" s="48">
        <f>ROUND('T1 MET'!J65,$D$145)</f>
        <v>105.37</v>
      </c>
      <c r="J147" s="48">
        <f>ROUND('T1 MET'!K65,$D$145)</f>
        <v>106.63</v>
      </c>
      <c r="K147" s="48">
        <f>ROUND('T1 MET'!L65,$D$145)</f>
        <v>108.98</v>
      </c>
      <c r="L147" s="38"/>
      <c r="M147" s="48">
        <f>ROUND('T1 MET'!N65,$D$145)</f>
        <v>111.16</v>
      </c>
      <c r="N147" s="48">
        <f>ROUND('T1 MET'!O65,$D$145)</f>
        <v>113.38</v>
      </c>
      <c r="O147" s="48">
        <f>ROUND('T1 MET'!P65,$D$145)</f>
        <v>115.65</v>
      </c>
      <c r="P147" s="16"/>
      <c r="Q147" s="48">
        <f>ROUND('T1 MET'!R65,$D$145)</f>
        <v>106.63</v>
      </c>
      <c r="R147" s="38"/>
      <c r="S147" s="16"/>
      <c r="T147" s="16"/>
    </row>
    <row r="148" spans="1:20" s="65" customFormat="1" ht="15" customHeight="1">
      <c r="A148" s="52" t="s">
        <v>50</v>
      </c>
      <c r="B148" s="34" t="s">
        <v>51</v>
      </c>
      <c r="C148" s="35" t="s">
        <v>52</v>
      </c>
      <c r="D148" s="36">
        <v>3</v>
      </c>
      <c r="E148" s="37" t="b">
        <f>ROUND(((('T1 MET'!F61-'T1 MET'!F15-'T1 MET'!F16)/('T1 MET'!F65/100))+('T1 MET'!F15+'T1 MET'!F16)),$D$148)=ROUND('T1 MET'!F66,$D$148)</f>
        <v>1</v>
      </c>
      <c r="F148" s="37" t="b">
        <f>ROUND(((('T1 MET'!G61-'T1 MET'!G15-'T1 MET'!G16)/('T1 MET'!G65/100))+('T1 MET'!G15+'T1 MET'!G16)),$D$148)=ROUND('T1 MET'!G66,$D$148)</f>
        <v>1</v>
      </c>
      <c r="G148" s="37" t="b">
        <f>ROUND(((('T1 MET'!H61-'T1 MET'!H15-'T1 MET'!H16)/('T1 MET'!H65/100))+('T1 MET'!H15+'T1 MET'!H16)),$D$148)=ROUND('T1 MET'!H66,$D$148)</f>
        <v>1</v>
      </c>
      <c r="H148" s="37" t="b">
        <f>ROUND(((('T1 MET'!I61-'T1 MET'!I15-'T1 MET'!I16)/('T1 MET'!I65/100))+('T1 MET'!I15+'T1 MET'!I16)),$D$148)=ROUND('T1 MET'!I66,$D$148)</f>
        <v>1</v>
      </c>
      <c r="I148" s="37" t="b">
        <f>ROUND(((('T1 MET'!J61-'T1 MET'!J15-'T1 MET'!J16)/('T1 MET'!J65/100))+('T1 MET'!J15+'T1 MET'!J16)),$D$148)=ROUND('T1 MET'!J66,$D$148)</f>
        <v>1</v>
      </c>
      <c r="J148" s="37" t="b">
        <f>ROUND(((('T1 MET'!K61-'T1 MET'!K15-'T1 MET'!K16)/('T1 MET'!K65/100))+('T1 MET'!K15+'T1 MET'!K16)),$D$148)=ROUND('T1 MET'!K66,$D$148)</f>
        <v>1</v>
      </c>
      <c r="K148" s="37" t="b">
        <f>ROUND(((('T1 MET'!L61-'T1 MET'!L15-'T1 MET'!L16)/('T1 MET'!L65/100))+('T1 MET'!L15+'T1 MET'!L16)),$D$148)=ROUND('T1 MET'!L66,$D$148)</f>
        <v>1</v>
      </c>
      <c r="L148" s="37" t="b">
        <f>ROUND('T1 MET'!K66+'T1 MET'!L66,$D$148)=ROUND('T1 MET'!M66,$D$148)</f>
        <v>1</v>
      </c>
      <c r="M148" s="37" t="b">
        <f>ROUND(((('T1 MET'!N61-'T1 MET'!N15-'T1 MET'!N16)/('T1 MET'!N65/100))+('T1 MET'!N15+'T1 MET'!N16)),$D$148)=ROUND('T1 MET'!N66,$D$148)</f>
        <v>1</v>
      </c>
      <c r="N148" s="37" t="b">
        <f>ROUND(((('T1 MET'!O61-'T1 MET'!O15-'T1 MET'!O16)/('T1 MET'!O65/100))+('T1 MET'!O15+'T1 MET'!O16)),$D$148)=ROUND('T1 MET'!O66,$D$148)</f>
        <v>1</v>
      </c>
      <c r="O148" s="37" t="b">
        <f>ROUND(((('T1 MET'!P61-'T1 MET'!P15-'T1 MET'!P16)/('T1 MET'!P65/100))+('T1 MET'!P15+'T1 MET'!P16)),$D$148)=ROUND('T1 MET'!P66,$D$148)</f>
        <v>1</v>
      </c>
      <c r="P148" s="16"/>
      <c r="Q148" s="37" t="b">
        <f>ROUND(((('T1 MET'!R61-'T1 MET'!R15-'T1 MET'!R16)/('T1 MET'!R65/100))+('T1 MET'!R15+'T1 MET'!R16)),$D$148)=ROUND('T1 MET'!R66,$D$148)</f>
        <v>1</v>
      </c>
      <c r="R148" s="38"/>
      <c r="S148" s="16"/>
      <c r="T148" s="16"/>
    </row>
    <row r="149" spans="1:20" s="65" customFormat="1" ht="15" customHeight="1" outlineLevel="1">
      <c r="A149" s="54"/>
      <c r="B149" s="40"/>
      <c r="C149" s="41" t="s">
        <v>530</v>
      </c>
      <c r="D149" s="45"/>
      <c r="E149" s="672">
        <f>ROUND(((('T1 MET'!F61-'T1 MET'!F15-'T1 MET'!F16)/('T1 MET'!F65/100))+('T1 MET'!F15+'T1 MET'!F16)),$D$148)</f>
        <v>7380.49</v>
      </c>
      <c r="F149" s="672">
        <f>ROUND(((('T1 MET'!G61-'T1 MET'!G15-'T1 MET'!G16)/('T1 MET'!G65/100))+('T1 MET'!G15+'T1 MET'!G16)),$D$148)</f>
        <v>5128.0029999999997</v>
      </c>
      <c r="G149" s="672">
        <f>ROUND(((('T1 MET'!H61-'T1 MET'!H15-'T1 MET'!H16)/('T1 MET'!H65/100))+('T1 MET'!H15+'T1 MET'!H16)),$D$148)</f>
        <v>5410.2520000000004</v>
      </c>
      <c r="H149" s="672">
        <f>ROUND(((('T1 MET'!I61-'T1 MET'!I15-'T1 MET'!I16)/('T1 MET'!I65/100))+('T1 MET'!I15+'T1 MET'!I16)),$D$148)</f>
        <v>5567.3789999999999</v>
      </c>
      <c r="I149" s="672">
        <f>ROUND(((('T1 MET'!J61-'T1 MET'!J15-'T1 MET'!J16)/('T1 MET'!J65/100))+('T1 MET'!J15+'T1 MET'!J16)),$D$148)</f>
        <v>5387.4409999999998</v>
      </c>
      <c r="J149" s="672">
        <f>ROUND(((('T1 MET'!K61-'T1 MET'!K15-'T1 MET'!K16)/('T1 MET'!K65/100))+('T1 MET'!K15+'T1 MET'!K16)),$D$148)</f>
        <v>7436.3329999999996</v>
      </c>
      <c r="K149" s="672">
        <f>ROUND(((('T1 MET'!L61-'T1 MET'!L15-'T1 MET'!L16)/('T1 MET'!L65/100))+('T1 MET'!L15+'T1 MET'!L16)),$D$148)</f>
        <v>7436.3329999999996</v>
      </c>
      <c r="L149" s="672">
        <f>ROUND('T1 MET'!K66+'T1 MET'!L66,$D$148)</f>
        <v>14872.666999999999</v>
      </c>
      <c r="M149" s="672">
        <f>ROUND(((('T1 MET'!N61-'T1 MET'!N15-'T1 MET'!N16)/('T1 MET'!N65/100))+('T1 MET'!N15+'T1 MET'!N16)),$D$148)</f>
        <v>7436.3329999999996</v>
      </c>
      <c r="N149" s="672">
        <f>ROUND(((('T1 MET'!O61-'T1 MET'!O15-'T1 MET'!O16)/('T1 MET'!O65/100))+('T1 MET'!O15+'T1 MET'!O16)),$D$148)</f>
        <v>7436.3329999999996</v>
      </c>
      <c r="O149" s="672">
        <f>ROUND(((('T1 MET'!P61-'T1 MET'!P15-'T1 MET'!P16)/('T1 MET'!P65/100))+('T1 MET'!P15+'T1 MET'!P16)),$D$148)</f>
        <v>7436.3329999999996</v>
      </c>
      <c r="P149" s="16"/>
      <c r="Q149" s="672">
        <f>ROUND(((('T1 MET'!R61-'T1 MET'!R15-'T1 MET'!R16)/('T1 MET'!R65/100))+('T1 MET'!R15+'T1 MET'!R16)),$D$148)</f>
        <v>7436.3329999999996</v>
      </c>
      <c r="R149" s="38"/>
      <c r="S149" s="16"/>
      <c r="T149" s="16"/>
    </row>
    <row r="150" spans="1:20" s="65" customFormat="1" ht="15" customHeight="1" outlineLevel="1">
      <c r="A150" s="54"/>
      <c r="B150" s="40"/>
      <c r="C150" s="41" t="s">
        <v>54</v>
      </c>
      <c r="D150" s="45"/>
      <c r="E150" s="672">
        <f>ROUND('T1 MET'!F66,$D$148)</f>
        <v>7380.49</v>
      </c>
      <c r="F150" s="672">
        <f>ROUND('T1 MET'!G66,$D$148)</f>
        <v>5128.0029999999997</v>
      </c>
      <c r="G150" s="672">
        <f>ROUND('T1 MET'!H66,$D$148)</f>
        <v>5410.2520000000004</v>
      </c>
      <c r="H150" s="672">
        <f>ROUND('T1 MET'!I66,$D$148)</f>
        <v>5567.3789999999999</v>
      </c>
      <c r="I150" s="672">
        <f>ROUND('T1 MET'!J66,$D$148)</f>
        <v>5387.4409999999998</v>
      </c>
      <c r="J150" s="672">
        <f>ROUND('T1 MET'!K66,$D$148)</f>
        <v>7436.3329999999996</v>
      </c>
      <c r="K150" s="672">
        <f>ROUND('T1 MET'!L66,$D$148)</f>
        <v>7436.3329999999996</v>
      </c>
      <c r="L150" s="672">
        <f>ROUND('T1 MET'!M66,$D$148)</f>
        <v>14872.666999999999</v>
      </c>
      <c r="M150" s="672">
        <f>ROUND('T1 MET'!N66,$D$148)</f>
        <v>7436.3329999999996</v>
      </c>
      <c r="N150" s="672">
        <f>ROUND('T1 MET'!O66,$D$148)</f>
        <v>7436.3329999999996</v>
      </c>
      <c r="O150" s="672">
        <f>ROUND('T1 MET'!P66,$D$148)</f>
        <v>7436.3329999999996</v>
      </c>
      <c r="P150" s="16"/>
      <c r="Q150" s="672">
        <f>ROUND('T1 MET'!R66,$D$148)</f>
        <v>7436.3329999999996</v>
      </c>
      <c r="R150" s="38"/>
      <c r="S150" s="16"/>
      <c r="T150" s="16"/>
    </row>
    <row r="151" spans="1:20" s="65" customFormat="1" ht="15" customHeight="1">
      <c r="A151" s="52" t="s">
        <v>55</v>
      </c>
      <c r="B151" s="34" t="s">
        <v>56</v>
      </c>
      <c r="C151" s="35" t="s">
        <v>57</v>
      </c>
      <c r="D151" s="45"/>
      <c r="E151" s="37" t="b">
        <f>'T1 MET'!F68='T1'!F68</f>
        <v>1</v>
      </c>
      <c r="F151" s="37" t="b">
        <f>'T1 MET'!G68='T1'!G68</f>
        <v>1</v>
      </c>
      <c r="G151" s="37" t="b">
        <f>'T1 MET'!H68='T1'!H68</f>
        <v>1</v>
      </c>
      <c r="H151" s="37" t="b">
        <f>'T1 MET'!I68='T1'!I68</f>
        <v>1</v>
      </c>
      <c r="I151" s="37" t="b">
        <f>'T1 MET'!J68='T1'!J68</f>
        <v>1</v>
      </c>
      <c r="J151" s="37" t="b">
        <f>'T1 MET'!K68='T1'!K68</f>
        <v>1</v>
      </c>
      <c r="K151" s="37" t="b">
        <f>'T1 MET'!L68='T1'!L68</f>
        <v>1</v>
      </c>
      <c r="L151" s="37" t="b">
        <f>'T1 MET'!M68='T1'!M68</f>
        <v>1</v>
      </c>
      <c r="M151" s="37" t="b">
        <f>'T1 MET'!N68='T1'!N68</f>
        <v>1</v>
      </c>
      <c r="N151" s="37" t="b">
        <f>'T1 MET'!O68='T1'!O68</f>
        <v>1</v>
      </c>
      <c r="O151" s="37" t="b">
        <f>'T1 MET'!P68='T1'!P68</f>
        <v>1</v>
      </c>
      <c r="P151" s="16"/>
      <c r="Q151" s="37" t="b">
        <f>'T1 MET'!R68='T1'!R68</f>
        <v>1</v>
      </c>
      <c r="R151" s="38"/>
      <c r="S151" s="16"/>
      <c r="T151" s="16"/>
    </row>
    <row r="152" spans="1:20" s="65" customFormat="1" ht="15" customHeight="1" outlineLevel="1">
      <c r="A152" s="54"/>
      <c r="B152" s="40"/>
      <c r="C152" s="41" t="s">
        <v>566</v>
      </c>
      <c r="D152" s="45"/>
      <c r="E152" s="672">
        <f>'T1 MET'!F68</f>
        <v>246.09299999999999</v>
      </c>
      <c r="F152" s="672">
        <f>'T1 MET'!G68</f>
        <v>245.18199999999999</v>
      </c>
      <c r="G152" s="672">
        <f>'T1 MET'!H68</f>
        <v>249.824836137597</v>
      </c>
      <c r="H152" s="672">
        <f>'T1 MET'!I68</f>
        <v>256.3</v>
      </c>
      <c r="I152" s="672">
        <f>'T1 MET'!J68</f>
        <v>256.00565702730603</v>
      </c>
      <c r="J152" s="672">
        <f>'T1 MET'!K68</f>
        <v>134.32968502803001</v>
      </c>
      <c r="K152" s="672">
        <f>'T1 MET'!L68</f>
        <v>139.24003148171201</v>
      </c>
      <c r="L152" s="672">
        <f>'T1 MET'!M68</f>
        <v>273.56971650974202</v>
      </c>
      <c r="M152" s="672">
        <f>'T1 MET'!N68</f>
        <v>204.80311130053201</v>
      </c>
      <c r="N152" s="672">
        <f>'T1 MET'!O68</f>
        <v>240.42251109710699</v>
      </c>
      <c r="O152" s="672">
        <f>'T1 MET'!P68</f>
        <v>258.33819951035298</v>
      </c>
      <c r="P152" s="16"/>
      <c r="Q152" s="672">
        <f>'T1 MET'!R68</f>
        <v>134.32968502803001</v>
      </c>
      <c r="R152" s="38"/>
      <c r="S152" s="16"/>
      <c r="T152" s="16"/>
    </row>
    <row r="153" spans="1:20" s="65" customFormat="1" ht="15" customHeight="1" outlineLevel="1">
      <c r="A153" s="54"/>
      <c r="B153" s="40"/>
      <c r="C153" s="41" t="s">
        <v>537</v>
      </c>
      <c r="D153" s="45"/>
      <c r="E153" s="672">
        <f>'T1'!F68</f>
        <v>246.09299999999999</v>
      </c>
      <c r="F153" s="672">
        <f>'T1'!G68</f>
        <v>245.18199999999999</v>
      </c>
      <c r="G153" s="672">
        <f>'T1'!H68</f>
        <v>249.824836137597</v>
      </c>
      <c r="H153" s="672">
        <f>'T1'!I68</f>
        <v>256.3</v>
      </c>
      <c r="I153" s="672">
        <f>'T1'!J68</f>
        <v>256.00565702730603</v>
      </c>
      <c r="J153" s="672">
        <f>'T1'!K68</f>
        <v>134.32968502803001</v>
      </c>
      <c r="K153" s="672">
        <f>'T1'!L68</f>
        <v>139.24003148171201</v>
      </c>
      <c r="L153" s="672">
        <f>'T1'!M68</f>
        <v>273.56971650974202</v>
      </c>
      <c r="M153" s="672">
        <f>'T1'!N68</f>
        <v>204.80311130053201</v>
      </c>
      <c r="N153" s="672">
        <f>'T1'!O68</f>
        <v>240.42251109710699</v>
      </c>
      <c r="O153" s="672">
        <f>'T1'!P68</f>
        <v>258.33819951035298</v>
      </c>
      <c r="P153" s="16"/>
      <c r="Q153" s="672">
        <f>'T1'!R68</f>
        <v>134.32968502803001</v>
      </c>
      <c r="R153" s="38"/>
    </row>
    <row r="154" spans="1:20" s="65" customFormat="1" ht="15" customHeight="1">
      <c r="A154" s="52" t="s">
        <v>41</v>
      </c>
      <c r="B154" s="34" t="s">
        <v>42</v>
      </c>
      <c r="C154" s="35" t="s">
        <v>59</v>
      </c>
      <c r="D154" s="36">
        <v>2</v>
      </c>
      <c r="E154" s="37" t="b">
        <f>ROUND(('T1 MET'!F66/'T1 MET'!F68),$D$154)=ROUND('T1 MET'!F70,$D$154)</f>
        <v>1</v>
      </c>
      <c r="F154" s="37" t="b">
        <f>ROUND(('T1 MET'!G66/'T1 MET'!G68),$D$154)=ROUND('T1 MET'!G70,$D$154)</f>
        <v>1</v>
      </c>
      <c r="G154" s="37" t="b">
        <f>ROUND(('T1 MET'!H66/'T1 MET'!H68),$D$154)=ROUND('T1 MET'!H70,$D$154)</f>
        <v>1</v>
      </c>
      <c r="H154" s="37" t="b">
        <f>ROUND(('T1 MET'!I66/'T1 MET'!I68),$D$154)=ROUND('T1 MET'!I70,$D$154)</f>
        <v>1</v>
      </c>
      <c r="I154" s="37" t="b">
        <f>ROUND(('T1 MET'!J66/'T1 MET'!J68),$D$154)=ROUND('T1 MET'!J70,$D$154)</f>
        <v>1</v>
      </c>
      <c r="J154" s="37" t="b">
        <f>ROUND(('T1 MET'!K66/'T1 MET'!K68),$D$154)=ROUND('T1 MET'!K70,$D$154)</f>
        <v>1</v>
      </c>
      <c r="K154" s="37" t="b">
        <f>ROUND(('T1 MET'!L66/'T1 MET'!L68),$D$154)=ROUND('T1 MET'!L70,$D$154)</f>
        <v>1</v>
      </c>
      <c r="L154" s="37" t="b">
        <f>ROUND(('T1 MET'!M66/'T1 MET'!M68),$D$154)=ROUND('T1 MET'!M70,$D$154)</f>
        <v>1</v>
      </c>
      <c r="M154" s="37" t="b">
        <f>ROUND(('T1 MET'!N66/'T1 MET'!N68),$D$154)=ROUND('T1 MET'!N70,$D$154)</f>
        <v>1</v>
      </c>
      <c r="N154" s="37" t="b">
        <f>ROUND(('T1 MET'!O66/'T1 MET'!O68),$D$154)=ROUND('T1 MET'!O70,$D$154)</f>
        <v>1</v>
      </c>
      <c r="O154" s="37" t="b">
        <f>ROUND(('T1 MET'!P66/'T1 MET'!P68),$D$154)=ROUND('T1 MET'!P70,$D$154)</f>
        <v>1</v>
      </c>
      <c r="P154" s="16"/>
      <c r="Q154" s="37" t="b">
        <f>ROUND(('T1 MET'!R66/'T1 MET'!R68),$D$154)=ROUND('T1 MET'!R70,$D$154)</f>
        <v>1</v>
      </c>
    </row>
    <row r="155" spans="1:20" s="65" customFormat="1" ht="15" customHeight="1" outlineLevel="1">
      <c r="A155" s="54"/>
      <c r="B155" s="40"/>
      <c r="C155" s="41" t="s">
        <v>43</v>
      </c>
      <c r="D155" s="45"/>
      <c r="E155" s="48">
        <f>ROUND(('T1 MET'!F66/'T1 MET'!F68),$D$154)</f>
        <v>29.99</v>
      </c>
      <c r="F155" s="48">
        <f>ROUND(('T1 MET'!G66/'T1 MET'!G68),$D$154)</f>
        <v>20.92</v>
      </c>
      <c r="G155" s="48">
        <f>ROUND(('T1 MET'!H66/'T1 MET'!H68),$D$154)</f>
        <v>21.66</v>
      </c>
      <c r="H155" s="48">
        <f>ROUND(('T1 MET'!I66/'T1 MET'!I68),$D$154)</f>
        <v>21.72</v>
      </c>
      <c r="I155" s="48">
        <f>ROUND(('T1 MET'!J66/'T1 MET'!J68),$D$154)</f>
        <v>21.04</v>
      </c>
      <c r="J155" s="48">
        <f>ROUND(('T1 MET'!K66/'T1 MET'!K68),$D$154)</f>
        <v>55.36</v>
      </c>
      <c r="K155" s="48">
        <f>ROUND(('T1 MET'!L66/'T1 MET'!L68),$D$154)</f>
        <v>53.41</v>
      </c>
      <c r="L155" s="48">
        <f>ROUND(('T1 MET'!M66/'T1 MET'!M68),$D$154)</f>
        <v>54.37</v>
      </c>
      <c r="M155" s="48">
        <f>ROUND(('T1 MET'!N66/'T1 MET'!N68),$D$154)</f>
        <v>36.31</v>
      </c>
      <c r="N155" s="48">
        <f>ROUND(('T1 MET'!O66/'T1 MET'!O68),$D$154)</f>
        <v>30.93</v>
      </c>
      <c r="O155" s="48">
        <f>ROUND(('T1 MET'!P66/'T1 MET'!P68),$D$154)</f>
        <v>28.79</v>
      </c>
      <c r="P155" s="16"/>
      <c r="Q155" s="48">
        <f>ROUND(('T1 MET'!R66/'T1 MET'!R68),$D$154)</f>
        <v>55.36</v>
      </c>
    </row>
    <row r="156" spans="1:20" s="65" customFormat="1" ht="15" customHeight="1" outlineLevel="1">
      <c r="A156" s="54"/>
      <c r="B156" s="40"/>
      <c r="C156" s="41" t="s">
        <v>44</v>
      </c>
      <c r="D156" s="45"/>
      <c r="E156" s="48">
        <f>ROUND('T1 MET'!F70,$D$154)</f>
        <v>29.99</v>
      </c>
      <c r="F156" s="48">
        <f>ROUND('T1 MET'!G70,$D$154)</f>
        <v>20.92</v>
      </c>
      <c r="G156" s="48">
        <f>ROUND('T1 MET'!H70,$D$154)</f>
        <v>21.66</v>
      </c>
      <c r="H156" s="48">
        <f>ROUND('T1 MET'!I70,$D$154)</f>
        <v>21.72</v>
      </c>
      <c r="I156" s="48">
        <f>ROUND('T1 MET'!J70,$D$154)</f>
        <v>21.04</v>
      </c>
      <c r="J156" s="48">
        <f>ROUND('T1 MET'!K70,$D$154)</f>
        <v>55.36</v>
      </c>
      <c r="K156" s="48">
        <f>ROUND('T1 MET'!L70,$D$154)</f>
        <v>53.41</v>
      </c>
      <c r="L156" s="48">
        <f>ROUND('T1 MET'!M70,$D$154)</f>
        <v>54.37</v>
      </c>
      <c r="M156" s="48">
        <f>ROUND('T1 MET'!N70,$D$154)</f>
        <v>36.31</v>
      </c>
      <c r="N156" s="48">
        <f>ROUND('T1 MET'!O70,$D$154)</f>
        <v>30.93</v>
      </c>
      <c r="O156" s="48">
        <f>ROUND('T1 MET'!P70,$D$154)</f>
        <v>28.79</v>
      </c>
      <c r="P156" s="16"/>
      <c r="Q156" s="48">
        <f>ROUND('T1 MET'!R70,$D$154)</f>
        <v>55.36</v>
      </c>
    </row>
    <row r="157" spans="1:20" s="65" customFormat="1" ht="15" customHeight="1">
      <c r="A157" s="56" t="s">
        <v>60</v>
      </c>
      <c r="B157" s="34" t="s">
        <v>33</v>
      </c>
      <c r="C157" s="35" t="s">
        <v>61</v>
      </c>
      <c r="D157" s="45"/>
      <c r="E157" s="37" t="b">
        <f>'T1 MET'!F64='T1'!F64</f>
        <v>1</v>
      </c>
      <c r="F157" s="37" t="b">
        <f>'T1 MET'!G64='T1'!G64</f>
        <v>1</v>
      </c>
      <c r="G157" s="37" t="b">
        <f>'T1 MET'!H64='T1'!H64</f>
        <v>1</v>
      </c>
      <c r="H157" s="37" t="b">
        <f>'T1 MET'!I64='T1'!I64</f>
        <v>1</v>
      </c>
      <c r="I157" s="37" t="b">
        <f>'T1 MET'!J64='T1'!J64</f>
        <v>1</v>
      </c>
      <c r="J157" s="37" t="b">
        <f>'T1 MET'!K64='T1'!K64</f>
        <v>1</v>
      </c>
      <c r="K157" s="37" t="b">
        <f>'T1 MET'!L64='T1'!L64</f>
        <v>1</v>
      </c>
      <c r="L157" s="38"/>
      <c r="M157" s="37" t="b">
        <f>'T1 MET'!N64='T1'!N64</f>
        <v>1</v>
      </c>
      <c r="N157" s="37" t="b">
        <f>'T1 MET'!O64='T1'!O64</f>
        <v>1</v>
      </c>
      <c r="O157" s="37" t="b">
        <f>'T1 MET'!P64='T1'!P64</f>
        <v>1</v>
      </c>
      <c r="P157" s="16"/>
      <c r="Q157" s="37" t="b">
        <f>'T1 MET'!R64='T1'!R64</f>
        <v>1</v>
      </c>
    </row>
    <row r="158" spans="1:20" s="65" customFormat="1" ht="15" customHeight="1" outlineLevel="1">
      <c r="A158" s="57"/>
      <c r="B158" s="40"/>
      <c r="C158" s="41" t="s">
        <v>567</v>
      </c>
      <c r="D158" s="45"/>
      <c r="E158" s="47">
        <f>'T1 MET'!F64</f>
        <v>0.02</v>
      </c>
      <c r="F158" s="47">
        <f>'T1 MET'!G64</f>
        <v>3.9E-2</v>
      </c>
      <c r="G158" s="47">
        <f>'T1 MET'!H64</f>
        <v>1.9E-2</v>
      </c>
      <c r="H158" s="47">
        <f>'T1 MET'!I64</f>
        <v>0.03</v>
      </c>
      <c r="I158" s="47">
        <f>'T1 MET'!J64</f>
        <v>2.3E-2</v>
      </c>
      <c r="J158" s="47">
        <f>'T1 MET'!K64</f>
        <v>1.2E-2</v>
      </c>
      <c r="K158" s="47">
        <f>'T1 MET'!L64</f>
        <v>2.1999999999999999E-2</v>
      </c>
      <c r="L158" s="38"/>
      <c r="M158" s="47">
        <f>'T1 MET'!N64</f>
        <v>0.02</v>
      </c>
      <c r="N158" s="47">
        <f>'T1 MET'!O64</f>
        <v>0.02</v>
      </c>
      <c r="O158" s="47">
        <f>'T1 MET'!P64</f>
        <v>0.02</v>
      </c>
      <c r="P158" s="16"/>
      <c r="Q158" s="47">
        <f>'T1 MET'!R64</f>
        <v>1.2E-2</v>
      </c>
    </row>
    <row r="159" spans="1:20" s="65" customFormat="1" ht="15" customHeight="1" outlineLevel="1">
      <c r="A159" s="57"/>
      <c r="B159" s="40"/>
      <c r="C159" s="41" t="s">
        <v>63</v>
      </c>
      <c r="D159" s="45"/>
      <c r="E159" s="47">
        <f>'T1'!F64</f>
        <v>0.02</v>
      </c>
      <c r="F159" s="47">
        <f>'T1'!G64</f>
        <v>3.9E-2</v>
      </c>
      <c r="G159" s="47">
        <f>'T1'!H64</f>
        <v>1.9E-2</v>
      </c>
      <c r="H159" s="47">
        <f>'T1'!I64</f>
        <v>0.03</v>
      </c>
      <c r="I159" s="47">
        <f>'T1'!J64</f>
        <v>2.3E-2</v>
      </c>
      <c r="J159" s="47">
        <f>'T1'!K64</f>
        <v>1.2E-2</v>
      </c>
      <c r="K159" s="47">
        <f>'T1'!L64</f>
        <v>2.1999999999999999E-2</v>
      </c>
      <c r="L159" s="38"/>
      <c r="M159" s="47">
        <f>'T1'!N64</f>
        <v>0.02</v>
      </c>
      <c r="N159" s="47">
        <f>'T1'!O64</f>
        <v>0.02</v>
      </c>
      <c r="O159" s="47">
        <f>'T1'!P64</f>
        <v>0.02</v>
      </c>
      <c r="P159" s="16"/>
      <c r="Q159" s="47">
        <f>'T1'!R64</f>
        <v>1.2E-2</v>
      </c>
    </row>
    <row r="160" spans="1:20" s="65" customFormat="1" ht="15" customHeight="1">
      <c r="A160" s="56" t="s">
        <v>64</v>
      </c>
      <c r="B160" s="34" t="s">
        <v>37</v>
      </c>
      <c r="C160" s="35" t="s">
        <v>65</v>
      </c>
      <c r="D160" s="45"/>
      <c r="E160" s="37" t="b">
        <f>'T1 MET'!F65='T1'!F65</f>
        <v>1</v>
      </c>
      <c r="F160" s="37" t="b">
        <f>'T1 MET'!G65='T1'!G65</f>
        <v>1</v>
      </c>
      <c r="G160" s="37" t="b">
        <f>'T1 MET'!H65='T1'!H65</f>
        <v>1</v>
      </c>
      <c r="H160" s="37" t="b">
        <f>'T1 MET'!I65='T1'!I65</f>
        <v>1</v>
      </c>
      <c r="I160" s="37" t="b">
        <f>'T1 MET'!J65='T1'!J65</f>
        <v>1</v>
      </c>
      <c r="J160" s="37" t="b">
        <f>'T1 MET'!K65='T1'!K65</f>
        <v>1</v>
      </c>
      <c r="K160" s="37" t="b">
        <f>'T1 MET'!L65='T1'!L65</f>
        <v>1</v>
      </c>
      <c r="L160" s="38"/>
      <c r="M160" s="37" t="b">
        <f>'T1 MET'!N65='T1'!N65</f>
        <v>1</v>
      </c>
      <c r="N160" s="37" t="b">
        <f>'T1 MET'!O65='T1'!O65</f>
        <v>1</v>
      </c>
      <c r="O160" s="37" t="b">
        <f>'T1 MET'!P65='T1'!P65</f>
        <v>1</v>
      </c>
      <c r="P160" s="16"/>
      <c r="Q160" s="37" t="b">
        <f>'T1 MET'!R65='T1'!R65</f>
        <v>1</v>
      </c>
    </row>
    <row r="161" spans="1:17" s="65" customFormat="1" ht="15" customHeight="1" outlineLevel="1">
      <c r="A161" s="58"/>
      <c r="B161" s="40"/>
      <c r="C161" s="41" t="s">
        <v>568</v>
      </c>
      <c r="D161" s="45"/>
      <c r="E161" s="48">
        <f>'T1 MET'!F65</f>
        <v>94.45180643802405</v>
      </c>
      <c r="F161" s="48">
        <f>'T1 MET'!G65</f>
        <v>98.135426889106981</v>
      </c>
      <c r="G161" s="48">
        <f>'T1 MET'!H65</f>
        <v>100</v>
      </c>
      <c r="H161" s="48">
        <f>'T1 MET'!I65</f>
        <v>103</v>
      </c>
      <c r="I161" s="48">
        <f>'T1 MET'!J65</f>
        <v>105.36899999999999</v>
      </c>
      <c r="J161" s="48">
        <f>'T1 MET'!K65</f>
        <v>106.63342799999998</v>
      </c>
      <c r="K161" s="48">
        <f>'T1 MET'!L65</f>
        <v>108.97936341599998</v>
      </c>
      <c r="L161" s="38"/>
      <c r="M161" s="48">
        <f>'T1 MET'!N65</f>
        <v>111.15895068431999</v>
      </c>
      <c r="N161" s="48">
        <f>'T1 MET'!O65</f>
        <v>113.38212969800639</v>
      </c>
      <c r="O161" s="48">
        <f>'T1 MET'!P65</f>
        <v>115.64977229196653</v>
      </c>
      <c r="P161" s="16"/>
      <c r="Q161" s="48">
        <f>'T1 MET'!R65</f>
        <v>106.63342799999998</v>
      </c>
    </row>
    <row r="162" spans="1:17" s="65" customFormat="1" ht="15" customHeight="1" outlineLevel="1">
      <c r="A162" s="58"/>
      <c r="B162" s="40"/>
      <c r="C162" s="41" t="s">
        <v>67</v>
      </c>
      <c r="D162" s="45"/>
      <c r="E162" s="48">
        <f>'T1'!F65</f>
        <v>94.45180643802405</v>
      </c>
      <c r="F162" s="48">
        <f>'T1'!G65</f>
        <v>98.135426889106981</v>
      </c>
      <c r="G162" s="48">
        <f>'T1'!H65</f>
        <v>100</v>
      </c>
      <c r="H162" s="48">
        <f>'T1'!I65</f>
        <v>103</v>
      </c>
      <c r="I162" s="48">
        <f>'T1'!J65</f>
        <v>105.36899999999999</v>
      </c>
      <c r="J162" s="48">
        <f>'T1'!K65</f>
        <v>106.63342799999998</v>
      </c>
      <c r="K162" s="48">
        <f>'T1'!L65</f>
        <v>108.97936341599998</v>
      </c>
      <c r="L162" s="38"/>
      <c r="M162" s="48">
        <f>'T1'!N65</f>
        <v>111.15895068431999</v>
      </c>
      <c r="N162" s="48">
        <f>'T1'!O65</f>
        <v>113.38212969800639</v>
      </c>
      <c r="O162" s="48">
        <f>'T1'!P65</f>
        <v>115.64977229196653</v>
      </c>
      <c r="P162" s="16"/>
      <c r="Q162" s="48">
        <f>'T1'!R65</f>
        <v>106.63342799999998</v>
      </c>
    </row>
    <row r="163" spans="1:17" s="65" customFormat="1" ht="15" customHeight="1">
      <c r="A163" s="33" t="s">
        <v>68</v>
      </c>
      <c r="B163" s="34" t="s">
        <v>69</v>
      </c>
      <c r="C163" s="59" t="s">
        <v>70</v>
      </c>
      <c r="D163" s="36">
        <v>3</v>
      </c>
      <c r="E163" s="37" t="str">
        <f>IF('T1 MET'!F16&gt;0,(ROUND('T1 MET'!F41,$D$163)=ROUND('T1 MET'!F16/'T1 MET'!F39,$D$163)),"N/A")</f>
        <v>N/A</v>
      </c>
      <c r="F163" s="37" t="str">
        <f>IF('T1 MET'!G16&gt;0,(ROUND('T1 MET'!G41,$D$163)=ROUND('T1 MET'!G16/'T1 MET'!G39,$D$163)),"N/A")</f>
        <v>N/A</v>
      </c>
      <c r="G163" s="37" t="str">
        <f>IF('T1 MET'!H16&gt;0,(ROUND('T1 MET'!H41,$D$163)=ROUND('T1 MET'!H16/'T1 MET'!H39,$D$163)),"N/A")</f>
        <v>N/A</v>
      </c>
      <c r="H163" s="37" t="str">
        <f>IF('T1 MET'!I16&gt;0,(ROUND('T1 MET'!I41,$D$163)=ROUND('T1 MET'!I16/'T1 MET'!I39,$D$163)),"N/A")</f>
        <v>N/A</v>
      </c>
      <c r="I163" s="37" t="str">
        <f>IF('T1 MET'!J16&gt;0,(ROUND('T1 MET'!J41,$D$163)=ROUND('T1 MET'!J16/'T1 MET'!J39,$D$163)),"N/A")</f>
        <v>N/A</v>
      </c>
      <c r="J163" s="37" t="str">
        <f>IF('T1 MET'!K16&gt;0,(ROUND('T1 MET'!K41,$D$163)=ROUND('T1 MET'!K16/'T1 MET'!K39,$D$163)),"N/A")</f>
        <v>N/A</v>
      </c>
      <c r="K163" s="37" t="str">
        <f>IF('T1 MET'!L16&gt;0,(ROUND('T1 MET'!L41,$D$163)=ROUND('T1 MET'!L16/'T1 MET'!L39,$D$163)),"N/A")</f>
        <v>N/A</v>
      </c>
      <c r="L163" s="38"/>
      <c r="M163" s="37" t="str">
        <f>IF('T1 MET'!N16&gt;0,(ROUND('T1 MET'!N41,$D$163)=ROUND('T1 MET'!N16/'T1 MET'!N39,$D$163)),"N/A")</f>
        <v>N/A</v>
      </c>
      <c r="N163" s="37" t="str">
        <f>IF('T1 MET'!O16&gt;0,(ROUND('T1 MET'!O41,$D$163)=ROUND('T1 MET'!O16/'T1 MET'!O39,$D$163)),"N/A")</f>
        <v>N/A</v>
      </c>
      <c r="O163" s="37" t="str">
        <f>IF('T1 MET'!P16&gt;0,(ROUND('T1 MET'!P41,$D$163)=ROUND('T1 MET'!P16/'T1 MET'!P39,$D$163)),"N/A")</f>
        <v>N/A</v>
      </c>
      <c r="P163" s="16"/>
      <c r="Q163" s="37" t="str">
        <f>IF('T1 MET'!R16&gt;0,(ROUND('T1 MET'!R41,$D$163)=ROUND('T1 MET'!R16/'T1 MET'!R39,$D$163)),"N/A")</f>
        <v>N/A</v>
      </c>
    </row>
    <row r="164" spans="1:17" s="65" customFormat="1" ht="15" customHeight="1" outlineLevel="1">
      <c r="A164" s="39"/>
      <c r="B164" s="40"/>
      <c r="C164" s="41" t="s">
        <v>71</v>
      </c>
      <c r="D164" s="45"/>
      <c r="E164" s="60" t="str">
        <f>IF('T1 MET'!F16&gt;0,(ROUND('T1 MET'!F41,$D$163)),"N/A")</f>
        <v>N/A</v>
      </c>
      <c r="F164" s="60" t="str">
        <f>IF('T1 MET'!G16&gt;0,(ROUND('T1 MET'!G41,$D$163)),"N/A")</f>
        <v>N/A</v>
      </c>
      <c r="G164" s="60" t="str">
        <f>IF('T1 MET'!H16&gt;0,(ROUND('T1 MET'!H41,$D$163)),"N/A")</f>
        <v>N/A</v>
      </c>
      <c r="H164" s="60" t="str">
        <f>IF('T1 MET'!I16&gt;0,(ROUND('T1 MET'!I41,$D$163)),"N/A")</f>
        <v>N/A</v>
      </c>
      <c r="I164" s="60" t="str">
        <f>IF('T1 MET'!J16&gt;0,(ROUND('T1 MET'!J41,$D$163)),"N/A")</f>
        <v>N/A</v>
      </c>
      <c r="J164" s="60" t="str">
        <f>IF('T1 MET'!K16&gt;0,(ROUND('T1 MET'!K41,$D$163)),"N/A")</f>
        <v>N/A</v>
      </c>
      <c r="K164" s="60" t="str">
        <f>IF('T1 MET'!L16&gt;0,(ROUND('T1 MET'!L41,$D$163)),"N/A")</f>
        <v>N/A</v>
      </c>
      <c r="L164" s="38"/>
      <c r="M164" s="60" t="str">
        <f>IF('T1 MET'!N16&gt;0,(ROUND('T1 MET'!N41,$D$163)),"N/A")</f>
        <v>N/A</v>
      </c>
      <c r="N164" s="60" t="str">
        <f>IF('T1 MET'!O16&gt;0,(ROUND('T1 MET'!O41,$D$163)),"N/A")</f>
        <v>N/A</v>
      </c>
      <c r="O164" s="60" t="str">
        <f>IF('T1 MET'!P16&gt;0,(ROUND('T1 MET'!P41,$D$163)),"N/A")</f>
        <v>N/A</v>
      </c>
      <c r="P164" s="16"/>
      <c r="Q164" s="60" t="str">
        <f>IF('T1 MET'!R16&gt;0,(ROUND('T1 MET'!R41,$D$163)),"N/A")</f>
        <v>N/A</v>
      </c>
    </row>
    <row r="165" spans="1:17" s="65" customFormat="1" ht="15" customHeight="1" outlineLevel="1">
      <c r="A165" s="39"/>
      <c r="B165" s="40"/>
      <c r="C165" s="41" t="s">
        <v>72</v>
      </c>
      <c r="D165" s="45"/>
      <c r="E165" s="60" t="str">
        <f>IF('T1 MET'!F16&gt;0,ROUND('T1 MET'!F16/'T1 MET'!F39,$D$163),"N/A")</f>
        <v>N/A</v>
      </c>
      <c r="F165" s="60" t="str">
        <f>IF('T1 MET'!G16&gt;0,ROUND('T1 MET'!G16/'T1 MET'!G39,$D$163),"N/A")</f>
        <v>N/A</v>
      </c>
      <c r="G165" s="60" t="str">
        <f>IF('T1 MET'!H16&gt;0,ROUND('T1 MET'!H16/'T1 MET'!H39,$D$163),"N/A")</f>
        <v>N/A</v>
      </c>
      <c r="H165" s="60" t="str">
        <f>IF('T1 MET'!I16&gt;0,ROUND('T1 MET'!I16/'T1 MET'!I39,$D$163),"N/A")</f>
        <v>N/A</v>
      </c>
      <c r="I165" s="60" t="str">
        <f>IF('T1 MET'!J16&gt;0,ROUND('T1 MET'!J16/'T1 MET'!J39,$D$163),"N/A")</f>
        <v>N/A</v>
      </c>
      <c r="J165" s="60" t="str">
        <f>IF('T1 MET'!K16&gt;0,ROUND('T1 MET'!K16/'T1 MET'!K39,$D$163),"N/A")</f>
        <v>N/A</v>
      </c>
      <c r="K165" s="60" t="str">
        <f>IF('T1 MET'!L16&gt;0,ROUND('T1 MET'!L16/'T1 MET'!L39,$D$163),"N/A")</f>
        <v>N/A</v>
      </c>
      <c r="L165" s="38"/>
      <c r="M165" s="60" t="str">
        <f>IF('T1 MET'!N16&gt;0,ROUND('T1 MET'!N16/'T1 MET'!N39,$D$163),"N/A")</f>
        <v>N/A</v>
      </c>
      <c r="N165" s="60" t="str">
        <f>IF('T1 MET'!O16&gt;0,ROUND('T1 MET'!O16/'T1 MET'!O39,$D$163),"N/A")</f>
        <v>N/A</v>
      </c>
      <c r="O165" s="60" t="str">
        <f>IF('T1 MET'!P16&gt;0,ROUND('T1 MET'!P16/'T1 MET'!P39,$D$163),"N/A")</f>
        <v>N/A</v>
      </c>
      <c r="P165" s="16"/>
      <c r="Q165" s="60" t="str">
        <f>IF('T1 MET'!R16&gt;0,ROUND('T1 MET'!R16/'T1 MET'!R39,$D$163),"N/A")</f>
        <v>N/A</v>
      </c>
    </row>
    <row r="166" spans="1:17" s="65" customFormat="1" ht="15" customHeight="1">
      <c r="A166" s="33" t="s">
        <v>73</v>
      </c>
      <c r="B166" s="34" t="s">
        <v>74</v>
      </c>
      <c r="C166" s="61" t="s">
        <v>75</v>
      </c>
      <c r="D166" s="36">
        <v>2</v>
      </c>
      <c r="E166" s="37" t="str">
        <f>IF('T1 MET'!F16&gt;0,IF(ISERROR(ROUND(('T1 MET'!F16-('T1 MET'!F39*'T1 MET'!F43))/(('T1 MET'!F39*'T1 MET'!F42)-('T1 MET'!F39*'T1 MET'!F43)),$D$166)),"N/A",ROUND(('T1 MET'!F16-('T1 MET'!F39*'T1 MET'!F43))/(('T1 MET'!F39*'T1 MET'!F42)-('T1 MET'!F39*'T1 MET'!F43)),$D$166))=ROUND('T1 MET'!F44,$D$166),"N/A")</f>
        <v>N/A</v>
      </c>
      <c r="F166" s="37" t="str">
        <f>IF('T1 MET'!G16&gt;0,IF(ISERROR(ROUND(('T1 MET'!G16-('T1 MET'!G39*'T1 MET'!G43))/(('T1 MET'!G39*'T1 MET'!G42)-('T1 MET'!G39*'T1 MET'!G43)),$D$166)),"N/A",ROUND(('T1 MET'!G16-('T1 MET'!G39*'T1 MET'!G43))/(('T1 MET'!G39*'T1 MET'!G42)-('T1 MET'!G39*'T1 MET'!G43)),$D$166))=ROUND('T1 MET'!G44,$D$166),"N/A")</f>
        <v>N/A</v>
      </c>
      <c r="G166" s="37" t="str">
        <f>IF('T1 MET'!H16&gt;0,IF(ISERROR(ROUND(('T1 MET'!H16-('T1 MET'!H39*'T1 MET'!H43))/(('T1 MET'!H39*'T1 MET'!H42)-('T1 MET'!H39*'T1 MET'!H43)),$D$166)),"N/A",ROUND(('T1 MET'!H16-('T1 MET'!H39*'T1 MET'!H43))/(('T1 MET'!H39*'T1 MET'!H42)-('T1 MET'!H39*'T1 MET'!H43)),$D$166))=ROUND('T1 MET'!H44,$D$166),"N/A")</f>
        <v>N/A</v>
      </c>
      <c r="H166" s="37" t="str">
        <f>IF('T1 MET'!I16&gt;0,IF(ISERROR(ROUND(('T1 MET'!I16-('T1 MET'!I39*'T1 MET'!I43))/(('T1 MET'!I39*'T1 MET'!I42)-('T1 MET'!I39*'T1 MET'!I43)),$D$166)),"N/A",ROUND(('T1 MET'!I16-('T1 MET'!I39*'T1 MET'!I43))/(('T1 MET'!I39*'T1 MET'!I42)-('T1 MET'!I39*'T1 MET'!I43)),$D$166))=ROUND('T1 MET'!I44,$D$166),"N/A")</f>
        <v>N/A</v>
      </c>
      <c r="I166" s="37" t="str">
        <f>IF('T1 MET'!J16&gt;0,IF(ISERROR(ROUND(('T1 MET'!J16-('T1 MET'!J39*'T1 MET'!J43))/(('T1 MET'!J39*'T1 MET'!J42)-('T1 MET'!J39*'T1 MET'!J43)),$D$166)),"N/A",ROUND(('T1 MET'!J16-('T1 MET'!J39*'T1 MET'!J43))/(('T1 MET'!J39*'T1 MET'!J42)-('T1 MET'!J39*'T1 MET'!J43)),$D$166))=ROUND('T1 MET'!J44,$D$166),"N/A")</f>
        <v>N/A</v>
      </c>
      <c r="J166" s="37" t="str">
        <f>IF('T1 MET'!K16&gt;0,IF(ISERROR(ROUND(('T1 MET'!K16-('T1 MET'!K39*'T1 MET'!K43))/(('T1 MET'!K39*'T1 MET'!K42)-('T1 MET'!K39*'T1 MET'!K43)),$D$166)),"N/A",ROUND(('T1 MET'!K16-('T1 MET'!K39*'T1 MET'!K43))/(('T1 MET'!K39*'T1 MET'!K42)-('T1 MET'!K39*'T1 MET'!K43)),$D$166))=ROUND('T1 MET'!K44,$D$166),"N/A")</f>
        <v>N/A</v>
      </c>
      <c r="K166" s="37" t="str">
        <f>IF('T1 MET'!L16&gt;0,IF(ISERROR(ROUND(('T1 MET'!L16-('T1 MET'!L39*'T1 MET'!L43))/(('T1 MET'!L39*'T1 MET'!L42)-('T1 MET'!L39*'T1 MET'!L43)),$D$166)),"N/A",ROUND(('T1 MET'!L16-('T1 MET'!L39*'T1 MET'!L43))/(('T1 MET'!L39*'T1 MET'!L42)-('T1 MET'!L39*'T1 MET'!L43)),$D$166))=ROUND('T1 MET'!L44,$D$166),"N/A")</f>
        <v>N/A</v>
      </c>
      <c r="L166" s="38"/>
      <c r="M166" s="37" t="str">
        <f>IF('T1 MET'!N16&gt;0,IF(ISERROR(ROUND(('T1 MET'!N16-('T1 MET'!N39*'T1 MET'!N43))/(('T1 MET'!N39*'T1 MET'!N42)-('T1 MET'!N39*'T1 MET'!N43)),$D$166)),"N/A",ROUND(('T1 MET'!N16-('T1 MET'!N39*'T1 MET'!N43))/(('T1 MET'!N39*'T1 MET'!N42)-('T1 MET'!N39*'T1 MET'!N43)),$D$166))=ROUND('T1 MET'!N44,$D$166),"N/A")</f>
        <v>N/A</v>
      </c>
      <c r="N166" s="37" t="str">
        <f>IF('T1 MET'!O16&gt;0,IF(ISERROR(ROUND(('T1 MET'!O16-('T1 MET'!O39*'T1 MET'!O43))/(('T1 MET'!O39*'T1 MET'!O42)-('T1 MET'!O39*'T1 MET'!O43)),$D$166)),"N/A",ROUND(('T1 MET'!O16-('T1 MET'!O39*'T1 MET'!O43))/(('T1 MET'!O39*'T1 MET'!O42)-('T1 MET'!O39*'T1 MET'!O43)),$D$166))=ROUND('T1 MET'!O44,$D$166),"N/A")</f>
        <v>N/A</v>
      </c>
      <c r="O166" s="37" t="str">
        <f>IF('T1 MET'!P16&gt;0,IF(ISERROR(ROUND(('T1 MET'!P16-('T1 MET'!P39*'T1 MET'!P43))/(('T1 MET'!P39*'T1 MET'!P42)-('T1 MET'!P39*'T1 MET'!P43)),$D$166)),"N/A",ROUND(('T1 MET'!P16-('T1 MET'!P39*'T1 MET'!P43))/(('T1 MET'!P39*'T1 MET'!P42)-('T1 MET'!P39*'T1 MET'!P43)),$D$166))=ROUND('T1 MET'!P44,$D$166),"N/A")</f>
        <v>N/A</v>
      </c>
      <c r="P166" s="16"/>
      <c r="Q166" s="37" t="str">
        <f>IF('T1 MET'!R16&gt;0,IF(ISERROR(ROUND(('T1 MET'!R16-('T1 MET'!R39*'T1 MET'!R43))/(('T1 MET'!R39*'T1 MET'!R42)-('T1 MET'!R39*'T1 MET'!R43)),$D$166)),"N/A",ROUND(('T1 MET'!R16-('T1 MET'!R39*'T1 MET'!R43))/(('T1 MET'!R39*'T1 MET'!R42)-('T1 MET'!R39*'T1 MET'!R43)),$D$166))=ROUND('T1 MET'!R44,$D$166),"N/A")</f>
        <v>N/A</v>
      </c>
    </row>
    <row r="167" spans="1:17" s="65" customFormat="1" ht="15" customHeight="1" outlineLevel="1">
      <c r="A167" s="39"/>
      <c r="B167" s="40"/>
      <c r="C167" s="62" t="s">
        <v>76</v>
      </c>
      <c r="D167" s="45"/>
      <c r="E167" s="63" t="str">
        <f>IF('T1 MET'!F16&gt;0,IF(ISERROR(ROUND(('T1 MET'!F16-('T1 MET'!F39*'T1 MET'!F43))/(('T1 MET'!F39*'T1 MET'!F42)-('T1 MET'!F39*'T1 MET'!F43)),$D$166)),"N/A",ROUND(('T1 MET'!F16-('T1 MET'!F39*'T1 MET'!F43))/(('T1 MET'!F39*'T1 MET'!F42)-('T1 MET'!F39*'T1 MET'!F43)),$D$166)),"N/A")</f>
        <v>N/A</v>
      </c>
      <c r="F167" s="63" t="str">
        <f>IF('T1 MET'!G16&gt;0,IF(ISERROR(ROUND(('T1 MET'!G16-('T1 MET'!G39*'T1 MET'!G43))/(('T1 MET'!G39*'T1 MET'!G42)-('T1 MET'!G39*'T1 MET'!G43)),$D$166)),"N/A",ROUND(('T1 MET'!G16-('T1 MET'!G39*'T1 MET'!G43))/(('T1 MET'!G39*'T1 MET'!G42)-('T1 MET'!G39*'T1 MET'!G43)),$D$166)),"N/A")</f>
        <v>N/A</v>
      </c>
      <c r="G167" s="63" t="str">
        <f>IF('T1 MET'!H16&gt;0,IF(ISERROR(ROUND(('T1 MET'!H16-('T1 MET'!H39*'T1 MET'!H43))/(('T1 MET'!H39*'T1 MET'!H42)-('T1 MET'!H39*'T1 MET'!H43)),$D$166)),"N/A",ROUND(('T1 MET'!H16-('T1 MET'!H39*'T1 MET'!H43))/(('T1 MET'!H39*'T1 MET'!H42)-('T1 MET'!H39*'T1 MET'!H43)),$D$166)),"N/A")</f>
        <v>N/A</v>
      </c>
      <c r="H167" s="63" t="str">
        <f>IF('T1 MET'!I16&gt;0,IF(ISERROR(ROUND(('T1 MET'!I16-('T1 MET'!I39*'T1 MET'!I43))/(('T1 MET'!I39*'T1 MET'!I42)-('T1 MET'!I39*'T1 MET'!I43)),$D$166)),"N/A",ROUND(('T1 MET'!I16-('T1 MET'!I39*'T1 MET'!I43))/(('T1 MET'!I39*'T1 MET'!I42)-('T1 MET'!I39*'T1 MET'!I43)),$D$166)),"N/A")</f>
        <v>N/A</v>
      </c>
      <c r="I167" s="63" t="str">
        <f>IF('T1 MET'!J16&gt;0,IF(ISERROR(ROUND(('T1 MET'!J16-('T1 MET'!J39*'T1 MET'!J43))/(('T1 MET'!J39*'T1 MET'!J42)-('T1 MET'!J39*'T1 MET'!J43)),$D$166)),"N/A",ROUND(('T1 MET'!J16-('T1 MET'!J39*'T1 MET'!J43))/(('T1 MET'!J39*'T1 MET'!J42)-('T1 MET'!J39*'T1 MET'!J43)),$D$166)),"N/A")</f>
        <v>N/A</v>
      </c>
      <c r="J167" s="63" t="str">
        <f>IF('T1 MET'!K16&gt;0,IF(ISERROR(ROUND(('T1 MET'!K16-('T1 MET'!K39*'T1 MET'!K43))/(('T1 MET'!K39*'T1 MET'!K42)-('T1 MET'!K39*'T1 MET'!K43)),$D$166)),"N/A",ROUND(('T1 MET'!K16-('T1 MET'!K39*'T1 MET'!K43))/(('T1 MET'!K39*'T1 MET'!K42)-('T1 MET'!K39*'T1 MET'!K43)),$D$166)),"N/A")</f>
        <v>N/A</v>
      </c>
      <c r="K167" s="63" t="str">
        <f>IF('T1 MET'!L16&gt;0,IF(ISERROR(ROUND(('T1 MET'!L16-('T1 MET'!L39*'T1 MET'!L43))/(('T1 MET'!L39*'T1 MET'!L42)-('T1 MET'!L39*'T1 MET'!L43)),$D$166)),"N/A",ROUND(('T1 MET'!L16-('T1 MET'!L39*'T1 MET'!L43))/(('T1 MET'!L39*'T1 MET'!L42)-('T1 MET'!L39*'T1 MET'!L43)),$D$166)),"N/A")</f>
        <v>N/A</v>
      </c>
      <c r="L167" s="38"/>
      <c r="M167" s="63" t="str">
        <f>IF('T1 MET'!N16&gt;0,IF(ISERROR(ROUND(('T1 MET'!N16-('T1 MET'!N39*'T1 MET'!N43))/(('T1 MET'!N39*'T1 MET'!N42)-('T1 MET'!N39*'T1 MET'!N43)),$D$166)),"N/A",ROUND(('T1 MET'!N16-('T1 MET'!N39*'T1 MET'!N43))/(('T1 MET'!N39*'T1 MET'!N42)-('T1 MET'!N39*'T1 MET'!N43)),$D$166)),"N/A")</f>
        <v>N/A</v>
      </c>
      <c r="N167" s="63" t="str">
        <f>IF('T1 MET'!O16&gt;0,IF(ISERROR(ROUND(('T1 MET'!O16-('T1 MET'!O39*'T1 MET'!O43))/(('T1 MET'!O39*'T1 MET'!O42)-('T1 MET'!O39*'T1 MET'!O43)),$D$166)),"N/A",ROUND(('T1 MET'!O16-('T1 MET'!O39*'T1 MET'!O43))/(('T1 MET'!O39*'T1 MET'!O42)-('T1 MET'!O39*'T1 MET'!O43)),$D$166)),"N/A")</f>
        <v>N/A</v>
      </c>
      <c r="O167" s="63" t="str">
        <f>IF('T1 MET'!P16&gt;0,IF(ISERROR(ROUND(('T1 MET'!P16-('T1 MET'!P39*'T1 MET'!P43))/(('T1 MET'!P39*'T1 MET'!P42)-('T1 MET'!P39*'T1 MET'!P43)),$D$166)),"N/A",ROUND(('T1 MET'!P16-('T1 MET'!P39*'T1 MET'!P43))/(('T1 MET'!P39*'T1 MET'!P42)-('T1 MET'!P39*'T1 MET'!P43)),$D$166)),"N/A")</f>
        <v>N/A</v>
      </c>
      <c r="P167" s="16"/>
      <c r="Q167" s="63" t="str">
        <f>IF('T1 MET'!R16&gt;0,IF(ISERROR(ROUND(('T1 MET'!R16-('T1 MET'!R39*'T1 MET'!R43))/(('T1 MET'!R39*'T1 MET'!R42)-('T1 MET'!R39*'T1 MET'!R43)),$D$166)),"N/A",ROUND(('T1 MET'!R16-('T1 MET'!R39*'T1 MET'!R43))/(('T1 MET'!R39*'T1 MET'!R42)-('T1 MET'!R39*'T1 MET'!R43)),$D$166)),"N/A")</f>
        <v>N/A</v>
      </c>
    </row>
    <row r="168" spans="1:17" s="65" customFormat="1" ht="15" customHeight="1" outlineLevel="1">
      <c r="A168" s="39"/>
      <c r="B168" s="40"/>
      <c r="C168" s="62" t="s">
        <v>77</v>
      </c>
      <c r="D168" s="45"/>
      <c r="E168" s="64" t="str">
        <f>IF('T1 MET'!F16&gt;0,ROUND('T1 MET'!F44,$D$166),"N/A")</f>
        <v>N/A</v>
      </c>
      <c r="F168" s="64" t="str">
        <f>IF('T1 MET'!G16&gt;0,ROUND('T1 MET'!G44,$D$166),"N/A")</f>
        <v>N/A</v>
      </c>
      <c r="G168" s="64" t="str">
        <f>IF('T1 MET'!H16&gt;0,ROUND('T1 MET'!H44,$D$166),"N/A")</f>
        <v>N/A</v>
      </c>
      <c r="H168" s="64" t="str">
        <f>IF('T1 MET'!I16&gt;0,ROUND('T1 MET'!I44,$D$166),"N/A")</f>
        <v>N/A</v>
      </c>
      <c r="I168" s="64" t="str">
        <f>IF('T1 MET'!J16&gt;0,ROUND('T1 MET'!J44,$D$166),"N/A")</f>
        <v>N/A</v>
      </c>
      <c r="J168" s="64" t="str">
        <f>IF('T1 MET'!K16&gt;0,ROUND('T1 MET'!K44,$D$166),"N/A")</f>
        <v>N/A</v>
      </c>
      <c r="K168" s="64" t="str">
        <f>IF('T1 MET'!L16&gt;0,ROUND('T1 MET'!L44,$D$166),"N/A")</f>
        <v>N/A</v>
      </c>
      <c r="L168" s="38"/>
      <c r="M168" s="64" t="str">
        <f>IF('T1 MET'!N16&gt;0,ROUND('T1 MET'!N44,$D$166),"N/A")</f>
        <v>N/A</v>
      </c>
      <c r="N168" s="64" t="str">
        <f>IF('T1 MET'!O16&gt;0,ROUND('T1 MET'!O44,$D$166),"N/A")</f>
        <v>N/A</v>
      </c>
      <c r="O168" s="64" t="str">
        <f>IF('T1 MET'!P16&gt;0,ROUND('T1 MET'!P44,$D$166),"N/A")</f>
        <v>N/A</v>
      </c>
      <c r="P168" s="16"/>
      <c r="Q168" s="64" t="str">
        <f>IF('T1 MET'!R16&gt;0,ROUND('T1 MET'!R44,$D$166),"N/A")</f>
        <v>N/A</v>
      </c>
    </row>
    <row r="169" spans="1:17" s="65" customFormat="1" ht="15" customHeight="1">
      <c r="A169" s="52" t="s">
        <v>78</v>
      </c>
      <c r="B169" s="34" t="s">
        <v>79</v>
      </c>
      <c r="C169" s="35" t="s">
        <v>80</v>
      </c>
      <c r="D169" s="36">
        <v>3</v>
      </c>
      <c r="E169" s="37" t="b">
        <f>ROUND(SUM('T1 MET'!F36:F38),$D$169)=ROUND('T1 MET'!F39,$D$169)</f>
        <v>1</v>
      </c>
      <c r="F169" s="37" t="b">
        <f>ROUND(SUM('T1 MET'!G36:G38),$D$169)=ROUND('T1 MET'!G39,$D$169)</f>
        <v>1</v>
      </c>
      <c r="G169" s="37" t="b">
        <f>ROUND(SUM('T1 MET'!H36:H38),$D$169)=ROUND('T1 MET'!H39,$D$169)</f>
        <v>1</v>
      </c>
      <c r="H169" s="37" t="b">
        <f>ROUND(SUM('T1 MET'!I36:I38),$D$169)=ROUND('T1 MET'!I39,$D$169)</f>
        <v>1</v>
      </c>
      <c r="I169" s="37" t="b">
        <f>ROUND(SUM('T1 MET'!J36:J38),$D$169)=ROUND('T1 MET'!J39,$D$169)</f>
        <v>1</v>
      </c>
      <c r="J169" s="37" t="b">
        <f>ROUND(SUM('T1 MET'!K36:K38),$D$169)=ROUND('T1 MET'!K39,$D$169)</f>
        <v>1</v>
      </c>
      <c r="K169" s="37" t="b">
        <f>ROUND(SUM('T1 MET'!L36:L38),$D$169)=ROUND('T1 MET'!L39,$D$169)</f>
        <v>1</v>
      </c>
      <c r="L169" s="38"/>
      <c r="M169" s="37" t="b">
        <f>ROUND(SUM('T1 MET'!N36:N38),$D$169)=ROUND('T1 MET'!N39,$D$169)</f>
        <v>1</v>
      </c>
      <c r="N169" s="37" t="b">
        <f>ROUND(SUM('T1 MET'!O36:O38),$D$169)=ROUND('T1 MET'!O39,$D$169)</f>
        <v>1</v>
      </c>
      <c r="O169" s="37" t="b">
        <f>ROUND(SUM('T1 MET'!P36:P38),$D$169)=ROUND('T1 MET'!P39,$D$169)</f>
        <v>1</v>
      </c>
      <c r="P169" s="16"/>
      <c r="Q169" s="37" t="b">
        <f>ROUND(SUM('T1 MET'!R36:R38),$D$169)=ROUND('T1 MET'!R39,$D$169)</f>
        <v>1</v>
      </c>
    </row>
    <row r="170" spans="1:17" s="65" customFormat="1" ht="15" customHeight="1" outlineLevel="1">
      <c r="A170" s="54"/>
      <c r="B170" s="40"/>
      <c r="C170" s="41" t="s">
        <v>81</v>
      </c>
      <c r="D170" s="45"/>
      <c r="E170" s="672">
        <f>ROUND(SUM('T1 MET'!F36:F38),$D$169)</f>
        <v>0</v>
      </c>
      <c r="F170" s="672">
        <f>ROUND(SUM('T1 MET'!G36:G38),$D$169)</f>
        <v>0</v>
      </c>
      <c r="G170" s="672">
        <f>ROUND(SUM('T1 MET'!H36:H38),$D$169)</f>
        <v>0</v>
      </c>
      <c r="H170" s="672">
        <f>ROUND(SUM('T1 MET'!I36:I38),$D$169)</f>
        <v>0</v>
      </c>
      <c r="I170" s="672">
        <f>ROUND(SUM('T1 MET'!J36:J38),$D$169)</f>
        <v>0</v>
      </c>
      <c r="J170" s="672">
        <f>ROUND(SUM('T1 MET'!K36:K38),$D$169)</f>
        <v>0</v>
      </c>
      <c r="K170" s="672">
        <f>ROUND(SUM('T1 MET'!L36:L38),$D$169)</f>
        <v>0</v>
      </c>
      <c r="L170" s="38"/>
      <c r="M170" s="672">
        <f>ROUND(SUM('T1 MET'!N36:N38),$D$169)</f>
        <v>0</v>
      </c>
      <c r="N170" s="672">
        <f>ROUND(SUM('T1 MET'!O36:O38),$D$169)</f>
        <v>0</v>
      </c>
      <c r="O170" s="672">
        <f>ROUND(SUM('T1 MET'!P36:P38),$D$169)</f>
        <v>0</v>
      </c>
      <c r="P170" s="16"/>
      <c r="Q170" s="672">
        <f>ROUND(SUM('T1 MET'!R36:R38),$D$169)</f>
        <v>0</v>
      </c>
    </row>
    <row r="171" spans="1:17" s="65" customFormat="1" ht="15" customHeight="1" outlineLevel="1">
      <c r="A171" s="54"/>
      <c r="B171" s="40"/>
      <c r="C171" s="41" t="s">
        <v>82</v>
      </c>
      <c r="D171" s="45"/>
      <c r="E171" s="672">
        <f>ROUND('T1 MET'!F39,$D$169)</f>
        <v>0</v>
      </c>
      <c r="F171" s="672">
        <f>ROUND('T1 MET'!G39,$D$169)</f>
        <v>0</v>
      </c>
      <c r="G171" s="672">
        <f>ROUND('T1 MET'!H39,$D$169)</f>
        <v>0</v>
      </c>
      <c r="H171" s="672">
        <f>ROUND('T1 MET'!I39,$D$169)</f>
        <v>0</v>
      </c>
      <c r="I171" s="672">
        <f>ROUND('T1 MET'!J39,$D$169)</f>
        <v>0</v>
      </c>
      <c r="J171" s="672">
        <f>ROUND('T1 MET'!K39,$D$169)</f>
        <v>0</v>
      </c>
      <c r="K171" s="672">
        <f>ROUND('T1 MET'!L39,$D$169)</f>
        <v>0</v>
      </c>
      <c r="L171" s="38"/>
      <c r="M171" s="672">
        <f>ROUND('T1 MET'!N39,$D$169)</f>
        <v>0</v>
      </c>
      <c r="N171" s="672">
        <f>ROUND('T1 MET'!O39,$D$169)</f>
        <v>0</v>
      </c>
      <c r="O171" s="672">
        <f>ROUND('T1 MET'!P39,$D$169)</f>
        <v>0</v>
      </c>
      <c r="P171" s="16"/>
      <c r="Q171" s="672">
        <f>ROUND('T1 MET'!R39,$D$169)</f>
        <v>0</v>
      </c>
    </row>
    <row r="172" spans="1:17" s="65" customFormat="1" ht="15" customHeight="1">
      <c r="A172" s="33" t="s">
        <v>83</v>
      </c>
      <c r="B172" s="34" t="s">
        <v>79</v>
      </c>
      <c r="C172" s="61" t="s">
        <v>84</v>
      </c>
      <c r="D172" s="36">
        <v>3</v>
      </c>
      <c r="E172" s="37" t="b">
        <f>IF(ROUND('T1 MET'!F39,$D$172)=0,ROUND('T1 MET'!F16,$D$172)=0,TRUE)</f>
        <v>1</v>
      </c>
      <c r="F172" s="37" t="b">
        <f>IF(ROUND('T1 MET'!G39,$D$172)=0,ROUND('T1 MET'!G16,$D$172)=0,TRUE)</f>
        <v>1</v>
      </c>
      <c r="G172" s="37" t="b">
        <f>IF(ROUND('T1 MET'!H39,$D$172)=0,ROUND('T1 MET'!H16,$D$172)=0,TRUE)</f>
        <v>1</v>
      </c>
      <c r="H172" s="37" t="b">
        <f>IF(ROUND('T1 MET'!I39,$D$172)=0,ROUND('T1 MET'!I16,$D$172)=0,TRUE)</f>
        <v>1</v>
      </c>
      <c r="I172" s="37" t="b">
        <f>IF(ROUND('T1 MET'!J39,$D$172)=0,ROUND('T1 MET'!J16,$D$172)=0,TRUE)</f>
        <v>1</v>
      </c>
      <c r="J172" s="37" t="b">
        <f>IF(ROUND('T1 MET'!K39,$D$172)=0,ROUND('T1 MET'!K16,$D$172)=0,TRUE)</f>
        <v>1</v>
      </c>
      <c r="K172" s="37" t="b">
        <f>IF(ROUND('T1 MET'!L39,$D$172)=0,ROUND('T1 MET'!L16,$D$172)=0,TRUE)</f>
        <v>1</v>
      </c>
      <c r="L172" s="38"/>
      <c r="M172" s="37" t="b">
        <f>IF(ROUND('T1 MET'!N39,$D$172)=0,ROUND('T1 MET'!N16,$D$172)=0,TRUE)</f>
        <v>1</v>
      </c>
      <c r="N172" s="37" t="b">
        <f>IF(ROUND('T1 MET'!O39,$D$172)=0,ROUND('T1 MET'!O16,$D$172)=0,TRUE)</f>
        <v>1</v>
      </c>
      <c r="O172" s="37" t="b">
        <f>IF(ROUND('T1 MET'!P39,$D$172)=0,ROUND('T1 MET'!P16,$D$172)=0,TRUE)</f>
        <v>1</v>
      </c>
      <c r="P172" s="16"/>
      <c r="Q172" s="37" t="b">
        <f>IF(ROUND('T1 MET'!R39,$D$172)=0,ROUND('T1 MET'!R16,$D$172)=0,TRUE)</f>
        <v>1</v>
      </c>
    </row>
    <row r="173" spans="1:17" s="65" customFormat="1" ht="15" customHeight="1" outlineLevel="1">
      <c r="A173" s="39"/>
      <c r="B173" s="40"/>
      <c r="C173" s="41" t="s">
        <v>82</v>
      </c>
      <c r="D173" s="45"/>
      <c r="E173" s="672">
        <f>ROUND('T1 MET'!F39,$D$172)</f>
        <v>0</v>
      </c>
      <c r="F173" s="672">
        <f>ROUND('T1 MET'!G39,$D$172)</f>
        <v>0</v>
      </c>
      <c r="G173" s="672">
        <f>ROUND('T1 MET'!H39,$D$172)</f>
        <v>0</v>
      </c>
      <c r="H173" s="672">
        <f>ROUND('T1 MET'!I39,$D$172)</f>
        <v>0</v>
      </c>
      <c r="I173" s="672">
        <f>ROUND('T1 MET'!J39,$D$172)</f>
        <v>0</v>
      </c>
      <c r="J173" s="672">
        <f>ROUND('T1 MET'!K39,$D$172)</f>
        <v>0</v>
      </c>
      <c r="K173" s="672">
        <f>ROUND('T1 MET'!L39,$D$172)</f>
        <v>0</v>
      </c>
      <c r="L173" s="38"/>
      <c r="M173" s="672">
        <f>ROUND('T1 MET'!N39,$D$172)</f>
        <v>0</v>
      </c>
      <c r="N173" s="672">
        <f>ROUND('T1 MET'!O39,$D$172)</f>
        <v>0</v>
      </c>
      <c r="O173" s="672">
        <f>ROUND('T1 MET'!P39,$D$172)</f>
        <v>0</v>
      </c>
      <c r="P173" s="16"/>
      <c r="Q173" s="672">
        <f>ROUND('T1 MET'!R39,$D$172)</f>
        <v>0</v>
      </c>
    </row>
    <row r="174" spans="1:17" s="65" customFormat="1" ht="15" customHeight="1" outlineLevel="1">
      <c r="A174" s="39"/>
      <c r="B174" s="40"/>
      <c r="C174" s="41" t="s">
        <v>85</v>
      </c>
      <c r="D174" s="45"/>
      <c r="E174" s="672">
        <f>ROUND('T1 MET'!F16,$D$172)</f>
        <v>0</v>
      </c>
      <c r="F174" s="672">
        <f>ROUND('T1 MET'!G16,$D$172)</f>
        <v>0</v>
      </c>
      <c r="G174" s="672">
        <f>ROUND('T1 MET'!H16,$D$172)</f>
        <v>0</v>
      </c>
      <c r="H174" s="672">
        <f>ROUND('T1 MET'!I16,$D$172)</f>
        <v>0</v>
      </c>
      <c r="I174" s="672">
        <f>ROUND('T1 MET'!J16,$D$172)</f>
        <v>0</v>
      </c>
      <c r="J174" s="672">
        <f>ROUND('T1 MET'!K16,$D$172)</f>
        <v>0</v>
      </c>
      <c r="K174" s="672">
        <f>ROUND('T1 MET'!L16,$D$172)</f>
        <v>0</v>
      </c>
      <c r="L174" s="38"/>
      <c r="M174" s="672">
        <f>ROUND('T1 MET'!N16,$D$172)</f>
        <v>0</v>
      </c>
      <c r="N174" s="672">
        <f>ROUND('T1 MET'!O16,$D$172)</f>
        <v>0</v>
      </c>
      <c r="O174" s="672">
        <f>ROUND('T1 MET'!P16,$D$172)</f>
        <v>0</v>
      </c>
      <c r="P174" s="16"/>
      <c r="Q174" s="672">
        <f>ROUND('T1 MET'!R16,$D$172)</f>
        <v>0</v>
      </c>
    </row>
    <row r="175" spans="1:17" s="38" customFormat="1" ht="15" customHeight="1">
      <c r="A175" s="33" t="s">
        <v>351</v>
      </c>
      <c r="B175" s="673" t="s">
        <v>352</v>
      </c>
      <c r="C175" s="674" t="s">
        <v>353</v>
      </c>
      <c r="D175" s="675">
        <v>3</v>
      </c>
      <c r="J175" s="1076" t="str">
        <f>IF('T1 MET'!K15=0,"N/A",ROUND('T1 MET'!K50,$D$175)=ROUND('T1 MET'!K15,$D$175))</f>
        <v>N/A</v>
      </c>
      <c r="K175" s="1076" t="str">
        <f>IF('T1 MET'!L15=0,"N/A",ROUND('T1 MET'!L50,$D$175)=ROUND('T1 MET'!L15,$D$175))</f>
        <v>N/A</v>
      </c>
      <c r="L175" s="1076" t="str">
        <f>IF('T1 MET'!M15=0,"N/A",ROUND('T1 MET'!M50,$D$175)=ROUND('T1 MET'!M15,$D$175))</f>
        <v>N/A</v>
      </c>
      <c r="M175" s="1076" t="str">
        <f>IF('T1 MET'!N15=0,"N/A",ROUND('T1 MET'!N50,$D$175)=ROUND('T1 MET'!N15,$D$175))</f>
        <v>N/A</v>
      </c>
      <c r="N175" s="1076" t="str">
        <f>IF('T1 MET'!O15=0,"N/A",ROUND('T1 MET'!O50,$D$175)=ROUND('T1 MET'!O15,$D$175))</f>
        <v>N/A</v>
      </c>
      <c r="O175" s="1076" t="str">
        <f>IF('T1 MET'!P15=0,"N/A",ROUND('T1 MET'!P50,$D$175)=ROUND('T1 MET'!P15,$D$175))</f>
        <v>N/A</v>
      </c>
      <c r="P175" s="1078"/>
      <c r="Q175" s="1076" t="str">
        <f>IF('T1 MET'!R15=0,"N/A",ROUND('T1 MET'!R50,$D$175)=ROUND('T1 MET'!R15,$D$175))</f>
        <v>N/A</v>
      </c>
    </row>
    <row r="176" spans="1:17" s="44" customFormat="1" ht="15" customHeight="1" outlineLevel="1">
      <c r="A176" s="39"/>
      <c r="B176" s="676"/>
      <c r="C176" s="677" t="s">
        <v>539</v>
      </c>
      <c r="D176" s="678"/>
      <c r="E176" s="38"/>
      <c r="F176" s="38"/>
      <c r="J176" s="1081" t="str">
        <f>IF('T1 MET'!K15=0,"N/A",ROUND('T1 MET'!K50,$D$175))</f>
        <v>N/A</v>
      </c>
      <c r="K176" s="1081" t="str">
        <f>IF('T1 MET'!L15=0,"N/A",ROUND('T1 MET'!L50,$D$175))</f>
        <v>N/A</v>
      </c>
      <c r="L176" s="1081" t="str">
        <f>IF('T1 MET'!M15=0,"N/A",ROUND('T1 MET'!M50,$D$175))</f>
        <v>N/A</v>
      </c>
      <c r="M176" s="1081" t="str">
        <f>IF('T1 MET'!N15=0,"N/A",ROUND('T1 MET'!N50,$D$175))</f>
        <v>N/A</v>
      </c>
      <c r="N176" s="1081" t="str">
        <f>IF('T1 MET'!O15=0,"N/A",ROUND('T1 MET'!O50,$D$175))</f>
        <v>N/A</v>
      </c>
      <c r="O176" s="1081" t="str">
        <f>IF('T1 MET'!P15=0,"N/A",ROUND('T1 MET'!P50,$D$175))</f>
        <v>N/A</v>
      </c>
      <c r="P176" s="1078"/>
      <c r="Q176" s="1081" t="str">
        <f>IF('T1 MET'!R15=0,"N/A",ROUND('T1 MET'!R50,$D$175))</f>
        <v>N/A</v>
      </c>
    </row>
    <row r="177" spans="1:17" s="44" customFormat="1" ht="15" customHeight="1" outlineLevel="1">
      <c r="A177" s="39"/>
      <c r="B177" s="676"/>
      <c r="C177" s="677" t="s">
        <v>538</v>
      </c>
      <c r="D177" s="678"/>
      <c r="E177" s="38"/>
      <c r="F177" s="38"/>
      <c r="J177" s="1081" t="str">
        <f>IF('T1 MET'!K15=0,"N/A",ROUND('T1 MET'!K15,$D$175))</f>
        <v>N/A</v>
      </c>
      <c r="K177" s="1081" t="str">
        <f>IF('T1 MET'!L15=0,"N/A",ROUND('T1 MET'!L15,$D$175))</f>
        <v>N/A</v>
      </c>
      <c r="L177" s="1081" t="str">
        <f>IF('T1 MET'!M15=0,"N/A",ROUND('T1 MET'!M15,$D$175))</f>
        <v>N/A</v>
      </c>
      <c r="M177" s="1081" t="str">
        <f>IF('T1 MET'!N15=0,"N/A",ROUND('T1 MET'!N15,$D$175))</f>
        <v>N/A</v>
      </c>
      <c r="N177" s="1081" t="str">
        <f>IF('T1 MET'!O15=0,"N/A",ROUND('T1 MET'!O15,$D$175))</f>
        <v>N/A</v>
      </c>
      <c r="O177" s="1081" t="str">
        <f>IF('T1 MET'!P15=0,"N/A",ROUND('T1 MET'!P15,$D$175))</f>
        <v>N/A</v>
      </c>
      <c r="P177" s="1078"/>
      <c r="Q177" s="1081" t="str">
        <f>IF('T1 MET'!R15=0,"N/A",ROUND('T1 MET'!R15,$D$175))</f>
        <v>N/A</v>
      </c>
    </row>
    <row r="178" spans="1:17" s="38" customFormat="1" ht="15" customHeight="1">
      <c r="A178" s="33" t="s">
        <v>354</v>
      </c>
      <c r="B178" s="673" t="s">
        <v>355</v>
      </c>
      <c r="C178" s="674" t="s">
        <v>356</v>
      </c>
      <c r="D178" s="675">
        <v>3</v>
      </c>
      <c r="J178" s="1076" t="str">
        <f>IF('T1 MET'!K16=0,"N/A",ROUND('T1 MET'!K51,$D$178)=ROUND('T1 MET'!K36*'T1 MET'!K41,$D$178))</f>
        <v>N/A</v>
      </c>
      <c r="K178" s="1076" t="str">
        <f>IF('T1 MET'!L16=0,"N/A",ROUND('T1 MET'!L51,$D$178)=ROUND('T1 MET'!L36*'T1 MET'!L41,$D$178))</f>
        <v>N/A</v>
      </c>
      <c r="L178" s="1077"/>
      <c r="M178" s="1076" t="str">
        <f>IF('T1 MET'!N16=0,"N/A",ROUND('T1 MET'!N51,$D$178)=ROUND('T1 MET'!N36*'T1 MET'!N41,$D$178))</f>
        <v>N/A</v>
      </c>
      <c r="N178" s="1076" t="str">
        <f>IF('T1 MET'!O16=0,"N/A",ROUND('T1 MET'!O51,$D$178)=ROUND('T1 MET'!O36*'T1 MET'!O41,$D$178))</f>
        <v>N/A</v>
      </c>
      <c r="O178" s="1076" t="str">
        <f>IF('T1 MET'!P16=0,"N/A",ROUND('T1 MET'!P51,$D$178)=ROUND('T1 MET'!P36*'T1 MET'!P41,$D$178))</f>
        <v>N/A</v>
      </c>
      <c r="P178" s="1078"/>
      <c r="Q178" s="1076" t="str">
        <f>IF('T1 MET'!R16=0,"N/A",ROUND('T1 MET'!R51,$D$178)=ROUND('T1 MET'!R36*'T1 MET'!R41,$D$178))</f>
        <v>N/A</v>
      </c>
    </row>
    <row r="179" spans="1:17" s="44" customFormat="1" ht="15" customHeight="1" outlineLevel="1">
      <c r="A179" s="39"/>
      <c r="B179" s="676"/>
      <c r="C179" s="677" t="s">
        <v>357</v>
      </c>
      <c r="D179" s="678"/>
      <c r="E179" s="38"/>
      <c r="F179" s="38"/>
      <c r="J179" s="1081" t="str">
        <f>IF('T1 MET'!K16=0,"N/A",ROUND('T1 MET'!K51,$D$178))</f>
        <v>N/A</v>
      </c>
      <c r="K179" s="1081" t="str">
        <f>IF('T1 MET'!L16=0,"N/A",ROUND('T1 MET'!L51,$D$178))</f>
        <v>N/A</v>
      </c>
      <c r="L179" s="1077"/>
      <c r="M179" s="1081" t="str">
        <f>IF('T1 MET'!N16=0,"N/A",ROUND('T1 MET'!N51,$D$178))</f>
        <v>N/A</v>
      </c>
      <c r="N179" s="1081" t="str">
        <f>IF('T1 MET'!O16=0,"N/A",ROUND('T1 MET'!O51,$D$178))</f>
        <v>N/A</v>
      </c>
      <c r="O179" s="1081" t="str">
        <f>IF('T1 MET'!P16=0,"N/A",ROUND('T1 MET'!P51,$D$178))</f>
        <v>N/A</v>
      </c>
      <c r="P179" s="1078"/>
      <c r="Q179" s="1081" t="str">
        <f>IF('T1 MET'!R16=0,"N/A",ROUND('T1 MET'!R51,$D$178))</f>
        <v>N/A</v>
      </c>
    </row>
    <row r="180" spans="1:17" s="44" customFormat="1" ht="15" customHeight="1" outlineLevel="1">
      <c r="A180" s="39"/>
      <c r="B180" s="676"/>
      <c r="C180" s="677" t="s">
        <v>358</v>
      </c>
      <c r="D180" s="678"/>
      <c r="E180" s="38"/>
      <c r="F180" s="38"/>
      <c r="J180" s="1081" t="str">
        <f>IF('T1 MET'!K16=0,"N/A",ROUND('T1 MET'!K36*'T1 MET'!K41,$D$178))</f>
        <v>N/A</v>
      </c>
      <c r="K180" s="1081" t="str">
        <f>IF('T1 MET'!L16=0,"N/A",ROUND('T1 MET'!L36*'T1 MET'!L41,$D$178))</f>
        <v>N/A</v>
      </c>
      <c r="L180" s="1077"/>
      <c r="M180" s="1081" t="str">
        <f>IF('T1 MET'!N16=0,"N/A",ROUND('T1 MET'!N36*'T1 MET'!N41,$D$178))</f>
        <v>N/A</v>
      </c>
      <c r="N180" s="1081" t="str">
        <f>IF('T1 MET'!O16=0,"N/A",ROUND('T1 MET'!O36*'T1 MET'!O41,$D$178))</f>
        <v>N/A</v>
      </c>
      <c r="O180" s="1081" t="str">
        <f>IF('T1 MET'!P16=0,"N/A",ROUND('T1 MET'!P36*'T1 MET'!P41,$D$178))</f>
        <v>N/A</v>
      </c>
      <c r="P180" s="1078"/>
      <c r="Q180" s="1081" t="str">
        <f>IF('T1 MET'!R16=0,"N/A",ROUND('T1 MET'!R36*'T1 MET'!R41,$D$178))</f>
        <v>N/A</v>
      </c>
    </row>
    <row r="181" spans="1:17" s="51" customFormat="1" ht="18.75">
      <c r="A181" s="27" t="s">
        <v>13</v>
      </c>
      <c r="B181" s="28" t="s">
        <v>14</v>
      </c>
      <c r="C181" s="29" t="s">
        <v>669</v>
      </c>
      <c r="D181" s="49"/>
      <c r="E181" s="50"/>
      <c r="F181" s="50"/>
      <c r="G181" s="50"/>
      <c r="H181" s="50"/>
      <c r="I181" s="50"/>
      <c r="J181" s="50"/>
      <c r="K181" s="50"/>
      <c r="L181" s="50"/>
      <c r="M181" s="50"/>
      <c r="N181" s="50"/>
      <c r="O181" s="50"/>
      <c r="P181" s="16"/>
      <c r="Q181" s="50"/>
    </row>
    <row r="182" spans="1:17" s="38" customFormat="1" ht="15" customHeight="1">
      <c r="A182" s="52" t="s">
        <v>20</v>
      </c>
      <c r="B182" s="34" t="s">
        <v>21</v>
      </c>
      <c r="C182" s="35" t="s">
        <v>86</v>
      </c>
      <c r="D182" s="36">
        <v>3</v>
      </c>
      <c r="E182" s="37" t="b">
        <f>ROUND('T1 NSA'!F18,$D$182)=ROUND(SUM('T1 NSA'!F14:F17)+'T1 NSA'!F12,$D$182)</f>
        <v>1</v>
      </c>
      <c r="F182" s="37" t="b">
        <f>ROUND('T1 NSA'!G18,$D$182)=ROUND(SUM('T1 NSA'!G14:G17)+'T1 NSA'!G12,$D$182)</f>
        <v>1</v>
      </c>
      <c r="G182" s="37" t="b">
        <f>ROUND('T1 NSA'!H18,$D$182)=ROUND(SUM('T1 NSA'!H14:H17)+'T1 NSA'!H12,$D$182)</f>
        <v>1</v>
      </c>
      <c r="H182" s="37" t="b">
        <f>ROUND('T1 NSA'!I18,$D$182)=ROUND(SUM('T1 NSA'!I14:I17)+'T1 NSA'!I12,$D$182)</f>
        <v>1</v>
      </c>
      <c r="I182" s="37" t="b">
        <f>ROUND('T1 NSA'!J18,$D$182)=ROUND(SUM('T1 NSA'!J14:J17)+'T1 NSA'!J12,$D$182)</f>
        <v>1</v>
      </c>
      <c r="J182" s="37" t="b">
        <f>ROUND('T1 NSA'!K18,$D$182)=ROUND(SUM('T1 NSA'!K14:K17)+'T1 NSA'!K12,$D$182)</f>
        <v>1</v>
      </c>
      <c r="K182" s="37" t="b">
        <f>ROUND('T1 NSA'!L18,$D$182)=ROUND(SUM('T1 NSA'!L14:L17)+'T1 NSA'!L12,$D$182)</f>
        <v>1</v>
      </c>
      <c r="L182" s="37" t="b">
        <f>ROUND('T1 NSA'!M18,$D$182)=ROUND(SUM('T1 NSA'!M14:M17)+'T1 NSA'!M12,$D$182)</f>
        <v>1</v>
      </c>
      <c r="M182" s="37" t="b">
        <f>ROUND('T1 NSA'!N18,$D$182)=ROUND(SUM('T1 NSA'!N14:N17)+'T1 NSA'!N12,$D$182)</f>
        <v>1</v>
      </c>
      <c r="N182" s="37" t="b">
        <f>ROUND('T1 NSA'!O18,$D$182)=ROUND(SUM('T1 NSA'!O14:O17)+'T1 NSA'!O12,$D$182)</f>
        <v>1</v>
      </c>
      <c r="O182" s="37" t="b">
        <f>ROUND('T1 NSA'!P18,$D$182)=ROUND(SUM('T1 NSA'!P14:P17)+'T1 NSA'!P12,$D$182)</f>
        <v>1</v>
      </c>
      <c r="P182" s="16"/>
      <c r="Q182" s="37" t="b">
        <f>ROUND('T1 NSA'!R18,$D$182)=ROUND(SUM('T1 NSA'!R14:R17)+'T1 NSA'!R12,$D$182)</f>
        <v>1</v>
      </c>
    </row>
    <row r="183" spans="1:17" s="44" customFormat="1" ht="15" customHeight="1" outlineLevel="1">
      <c r="A183" s="54"/>
      <c r="B183" s="40"/>
      <c r="C183" s="41" t="s">
        <v>23</v>
      </c>
      <c r="D183" s="45"/>
      <c r="E183" s="672">
        <f>ROUND('T1 NSA'!F18,$D$182)</f>
        <v>1379.63</v>
      </c>
      <c r="F183" s="672">
        <f>ROUND('T1 NSA'!G18,$D$182)</f>
        <v>1025</v>
      </c>
      <c r="G183" s="672">
        <f>ROUND('T1 NSA'!H18,$D$182)</f>
        <v>1066.3399999999999</v>
      </c>
      <c r="H183" s="672">
        <f>ROUND('T1 NSA'!I18,$D$182)</f>
        <v>1087.6669999999999</v>
      </c>
      <c r="I183" s="672">
        <f>ROUND('T1 NSA'!J18,$D$182)</f>
        <v>1159</v>
      </c>
      <c r="J183" s="672">
        <f>ROUND('T1 NSA'!K18,$D$182)</f>
        <v>826.43100000000004</v>
      </c>
      <c r="K183" s="672">
        <f>ROUND('T1 NSA'!L18,$D$182)</f>
        <v>844.61199999999997</v>
      </c>
      <c r="L183" s="672">
        <f>ROUND('T1 NSA'!M18,$D$182)</f>
        <v>1671.0429999999999</v>
      </c>
      <c r="M183" s="672">
        <f>ROUND('T1 NSA'!N18,$D$182)</f>
        <v>861.505</v>
      </c>
      <c r="N183" s="672">
        <f>ROUND('T1 NSA'!O18,$D$182)</f>
        <v>878.73500000000001</v>
      </c>
      <c r="O183" s="672">
        <f>ROUND('T1 NSA'!P18,$D$182)</f>
        <v>896.31</v>
      </c>
      <c r="P183" s="16"/>
      <c r="Q183" s="672">
        <f>ROUND('T1 NSA'!R18,$D$182)</f>
        <v>826.43100000000004</v>
      </c>
    </row>
    <row r="184" spans="1:17" s="44" customFormat="1" ht="15" customHeight="1" outlineLevel="1">
      <c r="A184" s="54"/>
      <c r="B184" s="40"/>
      <c r="C184" s="41" t="s">
        <v>24</v>
      </c>
      <c r="D184" s="45"/>
      <c r="E184" s="672">
        <f>ROUND(SUM('T1 NSA'!F14:F17)+'T1 NSA'!F12,$D$182)</f>
        <v>1379.63</v>
      </c>
      <c r="F184" s="672">
        <f>ROUND(SUM('T1 NSA'!G14:G17)+'T1 NSA'!G12,$D$182)</f>
        <v>1025</v>
      </c>
      <c r="G184" s="672">
        <f>ROUND(SUM('T1 NSA'!H14:H17)+'T1 NSA'!H12,$D$182)</f>
        <v>1066.3399999999999</v>
      </c>
      <c r="H184" s="672">
        <f>ROUND(SUM('T1 NSA'!I14:I17)+'T1 NSA'!I12,$D$182)</f>
        <v>1087.6669999999999</v>
      </c>
      <c r="I184" s="672">
        <f>ROUND(SUM('T1 NSA'!J14:J17)+'T1 NSA'!J12,$D$182)</f>
        <v>1159</v>
      </c>
      <c r="J184" s="672">
        <f>ROUND(SUM('T1 NSA'!K14:K17)+'T1 NSA'!K12,$D$182)</f>
        <v>826.43100000000004</v>
      </c>
      <c r="K184" s="672">
        <f>ROUND(SUM('T1 NSA'!L14:L17)+'T1 NSA'!L12,$D$182)</f>
        <v>844.61199999999997</v>
      </c>
      <c r="L184" s="672">
        <f>ROUND(SUM('T1 NSA'!M14:M17)+'T1 NSA'!M12,$D$182)</f>
        <v>1671.0429999999999</v>
      </c>
      <c r="M184" s="672">
        <f>ROUND(SUM('T1 NSA'!N14:N17)+'T1 NSA'!N12,$D$182)</f>
        <v>861.505</v>
      </c>
      <c r="N184" s="672">
        <f>ROUND(SUM('T1 NSA'!O14:O17)+'T1 NSA'!O12,$D$182)</f>
        <v>878.73500000000001</v>
      </c>
      <c r="O184" s="672">
        <f>ROUND(SUM('T1 NSA'!P14:P17)+'T1 NSA'!P12,$D$182)</f>
        <v>896.31</v>
      </c>
      <c r="P184" s="16"/>
      <c r="Q184" s="672">
        <f>ROUND(SUM('T1 NSA'!R14:R17)+'T1 NSA'!R12,$D$182)</f>
        <v>826.43100000000004</v>
      </c>
    </row>
    <row r="185" spans="1:17" s="38" customFormat="1" ht="15" customHeight="1">
      <c r="A185" s="52" t="s">
        <v>25</v>
      </c>
      <c r="B185" s="34" t="s">
        <v>26</v>
      </c>
      <c r="C185" s="35" t="s">
        <v>27</v>
      </c>
      <c r="D185" s="36">
        <v>3</v>
      </c>
      <c r="E185" s="37" t="b">
        <f>ROUND('T1 NSA'!F31,$D$185)=ROUND(SUM('T1 NSA'!F22:F30),$D$185)</f>
        <v>1</v>
      </c>
      <c r="F185" s="37" t="b">
        <f>ROUND('T1 NSA'!G31,$D$185)=ROUND(SUM('T1 NSA'!G22:G30),$D$185)</f>
        <v>1</v>
      </c>
      <c r="G185" s="37" t="b">
        <f>ROUND('T1 NSA'!H31,$D$185)=ROUND(SUM('T1 NSA'!H22:H30),$D$185)</f>
        <v>1</v>
      </c>
      <c r="H185" s="37" t="b">
        <f>ROUND('T1 NSA'!I31,$D$185)=ROUND(SUM('T1 NSA'!I22:I30),$D$185)</f>
        <v>1</v>
      </c>
      <c r="I185" s="37" t="b">
        <f>ROUND('T1 NSA'!J31,$D$185)=ROUND(SUM('T1 NSA'!J22:J30),$D$185)</f>
        <v>1</v>
      </c>
      <c r="J185" s="37" t="b">
        <f>ROUND('T1 NSA'!K31,$D$185)=ROUND(SUM('T1 NSA'!K22:K30),$D$185)</f>
        <v>1</v>
      </c>
      <c r="K185" s="37" t="b">
        <f>ROUND('T1 NSA'!L31,$D$185)=ROUND(SUM('T1 NSA'!L22:L30),$D$185)</f>
        <v>1</v>
      </c>
      <c r="L185" s="37" t="b">
        <f>ROUND('T1 NSA'!M31,$D$185)=ROUND(SUM('T1 NSA'!M22:M30),$D$185)</f>
        <v>1</v>
      </c>
      <c r="M185" s="37" t="b">
        <f>ROUND('T1 NSA'!N31,$D$185)=ROUND(SUM('T1 NSA'!N22:N30),$D$185)</f>
        <v>1</v>
      </c>
      <c r="N185" s="37" t="b">
        <f>ROUND('T1 NSA'!O31,$D$185)=ROUND(SUM('T1 NSA'!O22:O30),$D$185)</f>
        <v>1</v>
      </c>
      <c r="O185" s="37" t="b">
        <f>ROUND('T1 NSA'!P31,$D$185)=ROUND(SUM('T1 NSA'!P22:P30),$D$185)</f>
        <v>1</v>
      </c>
      <c r="P185" s="16"/>
      <c r="Q185" s="37" t="b">
        <f>ROUND('T1 NSA'!R31,$D$185)=ROUND(SUM('T1 NSA'!R22:R30),$D$185)</f>
        <v>1</v>
      </c>
    </row>
    <row r="186" spans="1:17" s="44" customFormat="1" ht="15" customHeight="1" outlineLevel="1">
      <c r="A186" s="54"/>
      <c r="B186" s="40"/>
      <c r="C186" s="41" t="s">
        <v>28</v>
      </c>
      <c r="D186" s="45"/>
      <c r="E186" s="672">
        <f>ROUND('T1 NSA'!F31,$D$185)</f>
        <v>1379.63</v>
      </c>
      <c r="F186" s="672">
        <f>ROUND('T1 NSA'!G31,$D$185)</f>
        <v>1025</v>
      </c>
      <c r="G186" s="672">
        <f>ROUND('T1 NSA'!H31,$D$185)</f>
        <v>1066.3399999999999</v>
      </c>
      <c r="H186" s="672">
        <f>ROUND('T1 NSA'!I31,$D$185)</f>
        <v>1087.6669999999999</v>
      </c>
      <c r="I186" s="672">
        <f>ROUND('T1 NSA'!J31,$D$185)</f>
        <v>1159</v>
      </c>
      <c r="J186" s="672">
        <f>ROUND('T1 NSA'!K31,$D$185)</f>
        <v>826.43100000000004</v>
      </c>
      <c r="K186" s="672">
        <f>ROUND('T1 NSA'!L31,$D$185)</f>
        <v>844.61199999999997</v>
      </c>
      <c r="L186" s="672">
        <f>ROUND('T1 NSA'!M31,$D$185)</f>
        <v>1671.0429999999999</v>
      </c>
      <c r="M186" s="672">
        <f>ROUND('T1 NSA'!N31,$D$185)</f>
        <v>861.505</v>
      </c>
      <c r="N186" s="672">
        <f>ROUND('T1 NSA'!O31,$D$185)</f>
        <v>878.73500000000001</v>
      </c>
      <c r="O186" s="672">
        <f>ROUND('T1 NSA'!P31,$D$185)</f>
        <v>896.31</v>
      </c>
      <c r="P186" s="16"/>
      <c r="Q186" s="672">
        <f>ROUND('T1 NSA'!R31,$D$185)</f>
        <v>826.43100000000004</v>
      </c>
    </row>
    <row r="187" spans="1:17" s="44" customFormat="1" ht="15" customHeight="1" outlineLevel="1">
      <c r="A187" s="54"/>
      <c r="B187" s="40"/>
      <c r="C187" s="41" t="s">
        <v>29</v>
      </c>
      <c r="D187" s="45"/>
      <c r="E187" s="672">
        <f>ROUND(SUM('T1 NSA'!F22:F30),$D$185)</f>
        <v>1379.63</v>
      </c>
      <c r="F187" s="672">
        <f>ROUND(SUM('T1 NSA'!G22:G30),$D$185)</f>
        <v>1025</v>
      </c>
      <c r="G187" s="672">
        <f>ROUND(SUM('T1 NSA'!H22:H30),$D$185)</f>
        <v>1066.3399999999999</v>
      </c>
      <c r="H187" s="672">
        <f>ROUND(SUM('T1 NSA'!I22:I30),$D$185)</f>
        <v>1087.6669999999999</v>
      </c>
      <c r="I187" s="672">
        <f>ROUND(SUM('T1 NSA'!J22:J30),$D$185)</f>
        <v>1159</v>
      </c>
      <c r="J187" s="672">
        <f>ROUND(SUM('T1 NSA'!K22:K30),$D$185)</f>
        <v>826.43100000000004</v>
      </c>
      <c r="K187" s="672">
        <f>ROUND(SUM('T1 NSA'!L22:L30),$D$185)</f>
        <v>844.61199999999997</v>
      </c>
      <c r="L187" s="672">
        <f>ROUND(SUM('T1 NSA'!M22:M30),$D$185)</f>
        <v>1671.0429999999999</v>
      </c>
      <c r="M187" s="672">
        <f>ROUND(SUM('T1 NSA'!N22:N30),$D$185)</f>
        <v>861.505</v>
      </c>
      <c r="N187" s="672">
        <f>ROUND(SUM('T1 NSA'!O22:O30),$D$185)</f>
        <v>878.73500000000001</v>
      </c>
      <c r="O187" s="672">
        <f>ROUND(SUM('T1 NSA'!P22:P30),$D$185)</f>
        <v>896.31</v>
      </c>
      <c r="P187" s="16"/>
      <c r="Q187" s="672">
        <f>ROUND(SUM('T1 NSA'!R22:R30),$D$185)</f>
        <v>826.43100000000004</v>
      </c>
    </row>
    <row r="188" spans="1:17" s="38" customFormat="1" ht="15" customHeight="1">
      <c r="A188" s="52" t="s">
        <v>30</v>
      </c>
      <c r="B188" s="34" t="s">
        <v>26</v>
      </c>
      <c r="C188" s="35" t="s">
        <v>31</v>
      </c>
      <c r="D188" s="36">
        <v>3</v>
      </c>
      <c r="E188" s="37" t="b">
        <f>ROUND('T1 NSA'!F18,$D$188)=ROUND('T1 NSA'!F31,$D$188)</f>
        <v>1</v>
      </c>
      <c r="F188" s="37" t="b">
        <f>ROUND('T1 NSA'!G18,$D$188)=ROUND('T1 NSA'!G31,$D$188)</f>
        <v>1</v>
      </c>
      <c r="G188" s="37" t="b">
        <f>ROUND('T1 NSA'!H18,$D$188)=ROUND('T1 NSA'!H31,$D$188)</f>
        <v>1</v>
      </c>
      <c r="H188" s="37" t="b">
        <f>ROUND('T1 NSA'!I18,$D$188)=ROUND('T1 NSA'!I31,$D$188)</f>
        <v>1</v>
      </c>
      <c r="I188" s="37" t="b">
        <f>ROUND('T1 NSA'!J18,$D$188)=ROUND('T1 NSA'!J31,$D$188)</f>
        <v>1</v>
      </c>
      <c r="J188" s="37" t="b">
        <f>ROUND('T1 NSA'!K18,$D$188)=ROUND('T1 NSA'!K31,$D$188)</f>
        <v>1</v>
      </c>
      <c r="K188" s="37" t="b">
        <f>ROUND('T1 NSA'!L18,$D$188)=ROUND('T1 NSA'!L31,$D$188)</f>
        <v>1</v>
      </c>
      <c r="L188" s="37" t="b">
        <f>ROUND('T1 NSA'!M18,$D$188)=ROUND('T1 NSA'!M31,$D$188)</f>
        <v>1</v>
      </c>
      <c r="M188" s="37" t="b">
        <f>ROUND('T1 NSA'!N18,$D$188)=ROUND('T1 NSA'!N31,$D$188)</f>
        <v>1</v>
      </c>
      <c r="N188" s="37" t="b">
        <f>ROUND('T1 NSA'!O18,$D$188)=ROUND('T1 NSA'!O31,$D$188)</f>
        <v>1</v>
      </c>
      <c r="O188" s="37" t="b">
        <f>ROUND('T1 NSA'!P18,$D$188)=ROUND('T1 NSA'!P31,$D$188)</f>
        <v>1</v>
      </c>
      <c r="P188" s="16"/>
      <c r="Q188" s="37" t="b">
        <f>ROUND('T1 NSA'!R18,$D$188)=ROUND('T1 NSA'!R31,$D$188)</f>
        <v>1</v>
      </c>
    </row>
    <row r="189" spans="1:17" s="44" customFormat="1" ht="15" customHeight="1" outlineLevel="1">
      <c r="A189" s="54"/>
      <c r="B189" s="40"/>
      <c r="C189" s="41" t="s">
        <v>23</v>
      </c>
      <c r="D189" s="45"/>
      <c r="E189" s="672">
        <f>ROUND('T1 NSA'!F18,$D$188)</f>
        <v>1379.63</v>
      </c>
      <c r="F189" s="672">
        <f>ROUND('T1 NSA'!G18,$D$188)</f>
        <v>1025</v>
      </c>
      <c r="G189" s="672">
        <f>ROUND('T1 NSA'!H18,$D$188)</f>
        <v>1066.3399999999999</v>
      </c>
      <c r="H189" s="672">
        <f>ROUND('T1 NSA'!I18,$D$188)</f>
        <v>1087.6669999999999</v>
      </c>
      <c r="I189" s="672">
        <f>ROUND('T1 NSA'!J18,$D$188)</f>
        <v>1159</v>
      </c>
      <c r="J189" s="672">
        <f>ROUND('T1 NSA'!K18,$D$188)</f>
        <v>826.43100000000004</v>
      </c>
      <c r="K189" s="672">
        <f>ROUND('T1 NSA'!L18,$D$188)</f>
        <v>844.61199999999997</v>
      </c>
      <c r="L189" s="672">
        <f>ROUND('T1 NSA'!M18,$D$188)</f>
        <v>1671.0429999999999</v>
      </c>
      <c r="M189" s="672">
        <f>ROUND('T1 NSA'!N18,$D$188)</f>
        <v>861.505</v>
      </c>
      <c r="N189" s="672">
        <f>ROUND('T1 NSA'!O18,$D$188)</f>
        <v>878.73500000000001</v>
      </c>
      <c r="O189" s="672">
        <f>ROUND('T1 NSA'!P18,$D$188)</f>
        <v>896.31</v>
      </c>
      <c r="P189" s="16"/>
      <c r="Q189" s="672">
        <f>ROUND('T1 NSA'!R18,$D$188)</f>
        <v>826.43100000000004</v>
      </c>
    </row>
    <row r="190" spans="1:17" s="44" customFormat="1" ht="15" customHeight="1" outlineLevel="1">
      <c r="A190" s="54"/>
      <c r="B190" s="40"/>
      <c r="C190" s="41" t="s">
        <v>28</v>
      </c>
      <c r="D190" s="45"/>
      <c r="E190" s="672">
        <f>ROUND('T1 NSA'!F31,$D$188)</f>
        <v>1379.63</v>
      </c>
      <c r="F190" s="672">
        <f>ROUND('T1 NSA'!G31,$D$188)</f>
        <v>1025</v>
      </c>
      <c r="G190" s="672">
        <f>ROUND('T1 NSA'!H31,$D$188)</f>
        <v>1066.3399999999999</v>
      </c>
      <c r="H190" s="672">
        <f>ROUND('T1 NSA'!I31,$D$188)</f>
        <v>1087.6669999999999</v>
      </c>
      <c r="I190" s="672">
        <f>ROUND('T1 NSA'!J31,$D$188)</f>
        <v>1159</v>
      </c>
      <c r="J190" s="672">
        <f>ROUND('T1 NSA'!K31,$D$188)</f>
        <v>826.43100000000004</v>
      </c>
      <c r="K190" s="672">
        <f>ROUND('T1 NSA'!L31,$D$188)</f>
        <v>844.61199999999997</v>
      </c>
      <c r="L190" s="672">
        <f>ROUND('T1 NSA'!M31,$D$188)</f>
        <v>1671.0429999999999</v>
      </c>
      <c r="M190" s="672">
        <f>ROUND('T1 NSA'!N31,$D$188)</f>
        <v>861.505</v>
      </c>
      <c r="N190" s="672">
        <f>ROUND('T1 NSA'!O31,$D$188)</f>
        <v>878.73500000000001</v>
      </c>
      <c r="O190" s="672">
        <f>ROUND('T1 NSA'!P31,$D$188)</f>
        <v>896.31</v>
      </c>
      <c r="P190" s="16"/>
      <c r="Q190" s="672">
        <f>ROUND('T1 NSA'!R31,$D$188)</f>
        <v>826.43100000000004</v>
      </c>
    </row>
    <row r="191" spans="1:17" s="38" customFormat="1" ht="15" customHeight="1">
      <c r="A191" s="52" t="s">
        <v>50</v>
      </c>
      <c r="B191" s="34" t="s">
        <v>51</v>
      </c>
      <c r="C191" s="35" t="s">
        <v>52</v>
      </c>
      <c r="D191" s="36">
        <v>3</v>
      </c>
      <c r="E191" s="37" t="b">
        <f>ROUND('T1 NSA'!F61,$D$191)=ROUND('T1 NSA'!F66,$D$191)</f>
        <v>1</v>
      </c>
      <c r="F191" s="37" t="b">
        <f>ROUND('T1 NSA'!G61,$D$191)=ROUND('T1 NSA'!G66,$D$191)</f>
        <v>1</v>
      </c>
      <c r="G191" s="37" t="b">
        <f>ROUND('T1 NSA'!H61,$D$191)=ROUND('T1 NSA'!H66,$D$191)</f>
        <v>1</v>
      </c>
      <c r="H191" s="37" t="b">
        <f>ROUND('T1 NSA'!I61,$D$191)=ROUND('T1 NSA'!I66,$D$191)</f>
        <v>1</v>
      </c>
      <c r="I191" s="37" t="b">
        <f>ROUND('T1 NSA'!J61,$D$191)=ROUND('T1 NSA'!J66,$D$191)</f>
        <v>1</v>
      </c>
      <c r="J191" s="37" t="b">
        <f>ROUND('T1 NSA'!K61,$D$191)=ROUND('T1 NSA'!K66,$D$191)</f>
        <v>1</v>
      </c>
      <c r="K191" s="37" t="b">
        <f>ROUND('T1 NSA'!L61,$D$191)=ROUND('T1 NSA'!L66,$D$191)</f>
        <v>1</v>
      </c>
      <c r="L191" s="37" t="b">
        <f>ROUND('T1 NSA'!M61,$D$191)=ROUND('T1 NSA'!M66,$D$191)</f>
        <v>1</v>
      </c>
      <c r="M191" s="37" t="b">
        <f>ROUND('T1 NSA'!N61,$D$191)=ROUND('T1 NSA'!N66,$D$191)</f>
        <v>1</v>
      </c>
      <c r="N191" s="37" t="b">
        <f>ROUND('T1 NSA'!O61,$D$191)=ROUND('T1 NSA'!O66,$D$191)</f>
        <v>1</v>
      </c>
      <c r="O191" s="37" t="b">
        <f>ROUND('T1 NSA'!P61,$D$191)=ROUND('T1 NSA'!P66,$D$191)</f>
        <v>1</v>
      </c>
      <c r="P191" s="16"/>
      <c r="Q191" s="37" t="b">
        <f>ROUND('T1 NSA'!R61,$D$191)=ROUND('T1 NSA'!R66,$D$191)</f>
        <v>1</v>
      </c>
    </row>
    <row r="192" spans="1:17" s="44" customFormat="1" ht="15" customHeight="1" outlineLevel="1">
      <c r="A192" s="54"/>
      <c r="B192" s="40"/>
      <c r="C192" s="41" t="s">
        <v>53</v>
      </c>
      <c r="D192" s="45"/>
      <c r="E192" s="672">
        <f>ROUND('T1 NSA'!F61,$D$191)</f>
        <v>1376.181</v>
      </c>
      <c r="F192" s="672">
        <f>ROUND('T1 NSA'!G61,$D$191)</f>
        <v>1022.438</v>
      </c>
      <c r="G192" s="672">
        <f>ROUND('T1 NSA'!H61,$D$191)</f>
        <v>1063.674</v>
      </c>
      <c r="H192" s="672">
        <f>ROUND('T1 NSA'!I61,$D$191)</f>
        <v>1084.9480000000001</v>
      </c>
      <c r="I192" s="672">
        <f>ROUND('T1 NSA'!J61,$D$191)</f>
        <v>1156.1030000000001</v>
      </c>
      <c r="J192" s="672">
        <f>ROUND('T1 NSA'!K61,$D$191)</f>
        <v>824.36500000000001</v>
      </c>
      <c r="K192" s="672">
        <f>ROUND('T1 NSA'!L61,$D$191)</f>
        <v>842.50099999999998</v>
      </c>
      <c r="L192" s="672">
        <f>ROUND('T1 NSA'!M61,$D$191)</f>
        <v>1666.866</v>
      </c>
      <c r="M192" s="672">
        <f>ROUND('T1 NSA'!N61,$D$191)</f>
        <v>859.351</v>
      </c>
      <c r="N192" s="672">
        <f>ROUND('T1 NSA'!O61,$D$191)</f>
        <v>876.53800000000001</v>
      </c>
      <c r="O192" s="672">
        <f>ROUND('T1 NSA'!P61,$D$191)</f>
        <v>894.06899999999996</v>
      </c>
      <c r="P192" s="16"/>
      <c r="Q192" s="672">
        <f>ROUND('T1 NSA'!R61,$D$191)</f>
        <v>824.36500000000001</v>
      </c>
    </row>
    <row r="193" spans="1:17" s="44" customFormat="1" ht="15" customHeight="1" outlineLevel="1">
      <c r="A193" s="54"/>
      <c r="B193" s="40"/>
      <c r="C193" s="41" t="s">
        <v>54</v>
      </c>
      <c r="D193" s="45"/>
      <c r="E193" s="672">
        <f>ROUND('T1 NSA'!F66,$D$191)</f>
        <v>1376.181</v>
      </c>
      <c r="F193" s="672">
        <f>ROUND('T1 NSA'!G66,$D$191)</f>
        <v>1022.438</v>
      </c>
      <c r="G193" s="672">
        <f>ROUND('T1 NSA'!H66,$D$191)</f>
        <v>1063.674</v>
      </c>
      <c r="H193" s="672">
        <f>ROUND('T1 NSA'!I66,$D$191)</f>
        <v>1084.9480000000001</v>
      </c>
      <c r="I193" s="672">
        <f>ROUND('T1 NSA'!J66,$D$191)</f>
        <v>1156.1030000000001</v>
      </c>
      <c r="J193" s="672">
        <f>ROUND('T1 NSA'!K66,$D$191)</f>
        <v>824.36500000000001</v>
      </c>
      <c r="K193" s="672">
        <f>ROUND('T1 NSA'!L66,$D$191)</f>
        <v>842.50099999999998</v>
      </c>
      <c r="L193" s="672">
        <f>ROUND('T1 NSA'!M66,$D$191)</f>
        <v>1666.866</v>
      </c>
      <c r="M193" s="672">
        <f>ROUND('T1 NSA'!N66,$D$191)</f>
        <v>859.351</v>
      </c>
      <c r="N193" s="672">
        <f>ROUND('T1 NSA'!O66,$D$191)</f>
        <v>876.53800000000001</v>
      </c>
      <c r="O193" s="672">
        <f>ROUND('T1 NSA'!P66,$D$191)</f>
        <v>894.06899999999996</v>
      </c>
      <c r="P193" s="16"/>
      <c r="Q193" s="672">
        <f>ROUND('T1 NSA'!R66,$D$191)</f>
        <v>824.36500000000001</v>
      </c>
    </row>
    <row r="194" spans="1:17" s="38" customFormat="1" ht="15" customHeight="1">
      <c r="A194" s="52" t="s">
        <v>55</v>
      </c>
      <c r="B194" s="34" t="s">
        <v>56</v>
      </c>
      <c r="C194" s="35" t="s">
        <v>57</v>
      </c>
      <c r="D194" s="45"/>
      <c r="E194" s="37" t="b">
        <f>'T1 NSA'!F68='T1'!F68</f>
        <v>1</v>
      </c>
      <c r="F194" s="37" t="b">
        <f>'T1 NSA'!G68='T1'!G68</f>
        <v>1</v>
      </c>
      <c r="G194" s="37" t="b">
        <f>'T1 NSA'!H68='T1'!H68</f>
        <v>1</v>
      </c>
      <c r="H194" s="37" t="b">
        <f>'T1 NSA'!I68='T1'!I68</f>
        <v>1</v>
      </c>
      <c r="I194" s="37" t="b">
        <f>'T1 NSA'!J68='T1'!J68</f>
        <v>1</v>
      </c>
      <c r="J194" s="37" t="b">
        <f>'T1 NSA'!K68='T1'!K68</f>
        <v>1</v>
      </c>
      <c r="K194" s="37" t="b">
        <f>'T1 NSA'!L68='T1'!L68</f>
        <v>1</v>
      </c>
      <c r="L194" s="37" t="b">
        <f>'T1 NSA'!M68='T1'!M68</f>
        <v>1</v>
      </c>
      <c r="M194" s="37" t="b">
        <f>'T1 NSA'!N68='T1'!N68</f>
        <v>1</v>
      </c>
      <c r="N194" s="37" t="b">
        <f>'T1 NSA'!O68='T1'!O68</f>
        <v>1</v>
      </c>
      <c r="O194" s="37" t="b">
        <f>'T1 NSA'!P68='T1'!P68</f>
        <v>1</v>
      </c>
      <c r="P194" s="16"/>
      <c r="Q194" s="37" t="b">
        <f>'T1 NSA'!R68='T1'!R68</f>
        <v>1</v>
      </c>
    </row>
    <row r="195" spans="1:17" s="44" customFormat="1" ht="15" customHeight="1" outlineLevel="1">
      <c r="A195" s="54"/>
      <c r="B195" s="40"/>
      <c r="C195" s="41" t="s">
        <v>87</v>
      </c>
      <c r="D195" s="45"/>
      <c r="E195" s="43">
        <f>'T1 NSA'!F68</f>
        <v>246.09299999999999</v>
      </c>
      <c r="F195" s="43">
        <f>'T1 NSA'!G68</f>
        <v>245.18199999999999</v>
      </c>
      <c r="G195" s="43">
        <f>'T1 NSA'!H68</f>
        <v>249.824836137597</v>
      </c>
      <c r="H195" s="43">
        <f>'T1 NSA'!I68</f>
        <v>256.3</v>
      </c>
      <c r="I195" s="43">
        <f>'T1 NSA'!J68</f>
        <v>256.00565702730603</v>
      </c>
      <c r="J195" s="43">
        <f>'T1 NSA'!K68</f>
        <v>134.32968502803001</v>
      </c>
      <c r="K195" s="43">
        <f>'T1 NSA'!L68</f>
        <v>139.24003148171201</v>
      </c>
      <c r="L195" s="43">
        <f>'T1 NSA'!M68</f>
        <v>273.56971650974202</v>
      </c>
      <c r="M195" s="43">
        <f>'T1 NSA'!N68</f>
        <v>204.80311130053201</v>
      </c>
      <c r="N195" s="43">
        <f>'T1 NSA'!O68</f>
        <v>240.42251109710699</v>
      </c>
      <c r="O195" s="43">
        <f>'T1 NSA'!P68</f>
        <v>258.33819951035298</v>
      </c>
      <c r="P195" s="16"/>
      <c r="Q195" s="43">
        <f>'T1 NSA'!R68</f>
        <v>134.32968502803001</v>
      </c>
    </row>
    <row r="196" spans="1:17" s="44" customFormat="1" ht="15" customHeight="1" outlineLevel="1">
      <c r="A196" s="54"/>
      <c r="B196" s="40"/>
      <c r="C196" s="41" t="s">
        <v>58</v>
      </c>
      <c r="D196" s="45"/>
      <c r="E196" s="43">
        <f>'T1'!F68</f>
        <v>246.09299999999999</v>
      </c>
      <c r="F196" s="43">
        <f>'T1'!G68</f>
        <v>245.18199999999999</v>
      </c>
      <c r="G196" s="43">
        <f>'T1'!H68</f>
        <v>249.824836137597</v>
      </c>
      <c r="H196" s="43">
        <f>'T1'!I68</f>
        <v>256.3</v>
      </c>
      <c r="I196" s="43">
        <f>'T1'!J68</f>
        <v>256.00565702730603</v>
      </c>
      <c r="J196" s="43">
        <f>'T1'!K68</f>
        <v>134.32968502803001</v>
      </c>
      <c r="K196" s="43">
        <f>'T1'!L68</f>
        <v>139.24003148171201</v>
      </c>
      <c r="L196" s="43">
        <f>'T1'!M68</f>
        <v>273.56971650974202</v>
      </c>
      <c r="M196" s="43">
        <f>'T1'!N68</f>
        <v>204.80311130053201</v>
      </c>
      <c r="N196" s="43">
        <f>'T1'!O68</f>
        <v>240.42251109710699</v>
      </c>
      <c r="O196" s="43">
        <f>'T1'!P68</f>
        <v>258.33819951035298</v>
      </c>
      <c r="P196" s="16"/>
      <c r="Q196" s="43">
        <f>'T1'!R68</f>
        <v>134.32968502803001</v>
      </c>
    </row>
    <row r="197" spans="1:17" s="38" customFormat="1" ht="15" customHeight="1">
      <c r="A197" s="52" t="s">
        <v>41</v>
      </c>
      <c r="B197" s="34" t="s">
        <v>42</v>
      </c>
      <c r="C197" s="35" t="s">
        <v>59</v>
      </c>
      <c r="D197" s="36">
        <v>2</v>
      </c>
      <c r="E197" s="37" t="b">
        <f>ROUND(('T1 NSA'!F66/'T1 NSA'!F68),$D$197)=ROUND('T1 NSA'!F70,$D$197)</f>
        <v>1</v>
      </c>
      <c r="F197" s="37" t="b">
        <f>ROUND(('T1 NSA'!G66/'T1 NSA'!G68),$D$197)=ROUND('T1 NSA'!G70,$D$197)</f>
        <v>1</v>
      </c>
      <c r="G197" s="37" t="b">
        <f>ROUND(('T1 NSA'!H66/'T1 NSA'!H68),$D$197)=ROUND('T1 NSA'!H70,$D$197)</f>
        <v>1</v>
      </c>
      <c r="H197" s="37" t="b">
        <f>ROUND(('T1 NSA'!I66/'T1 NSA'!I68),$D$197)=ROUND('T1 NSA'!I70,$D$197)</f>
        <v>1</v>
      </c>
      <c r="I197" s="37" t="b">
        <f>ROUND(('T1 NSA'!J66/'T1 NSA'!J68),$D$197)=ROUND('T1 NSA'!J70,$D$197)</f>
        <v>1</v>
      </c>
      <c r="J197" s="37" t="b">
        <f>ROUND(('T1 NSA'!K66/'T1 NSA'!K68),$D$197)=ROUND('T1 NSA'!K70,$D$197)</f>
        <v>1</v>
      </c>
      <c r="K197" s="37" t="b">
        <f>ROUND(('T1 NSA'!L66/'T1 NSA'!L68),$D$197)=ROUND('T1 NSA'!L70,$D$197)</f>
        <v>1</v>
      </c>
      <c r="L197" s="37" t="b">
        <f>ROUND(('T1 NSA'!M66/'T1 NSA'!M68),$D$197)=ROUND('T1 NSA'!M70,$D$197)</f>
        <v>1</v>
      </c>
      <c r="M197" s="37" t="b">
        <f>ROUND(('T1 NSA'!N66/'T1 NSA'!N68),$D$197)=ROUND('T1 NSA'!N70,$D$197)</f>
        <v>1</v>
      </c>
      <c r="N197" s="37" t="b">
        <f>ROUND(('T1 NSA'!O66/'T1 NSA'!O68),$D$197)=ROUND('T1 NSA'!O70,$D$197)</f>
        <v>1</v>
      </c>
      <c r="O197" s="37" t="b">
        <f>ROUND(('T1 NSA'!P66/'T1 NSA'!P68),$D$197)=ROUND('T1 NSA'!P70,$D$197)</f>
        <v>1</v>
      </c>
      <c r="P197" s="16"/>
      <c r="Q197" s="37" t="b">
        <f>ROUND(('T1 NSA'!R66/'T1 NSA'!R68),$D$197)=ROUND('T1 NSA'!R70,$D$197)</f>
        <v>1</v>
      </c>
    </row>
    <row r="198" spans="1:17" s="44" customFormat="1" ht="15" customHeight="1" outlineLevel="1">
      <c r="A198" s="54"/>
      <c r="B198" s="40"/>
      <c r="C198" s="41" t="s">
        <v>43</v>
      </c>
      <c r="D198" s="45"/>
      <c r="E198" s="48">
        <f>ROUND(('T1 NSA'!F66/'T1 NSA'!F68),$D$197)</f>
        <v>5.59</v>
      </c>
      <c r="F198" s="48">
        <f>ROUND(('T1 NSA'!G66/'T1 NSA'!G68),$D$197)</f>
        <v>4.17</v>
      </c>
      <c r="G198" s="48">
        <f>ROUND(('T1 NSA'!H66/'T1 NSA'!H68),$D$197)</f>
        <v>4.26</v>
      </c>
      <c r="H198" s="48">
        <f>ROUND(('T1 NSA'!I66/'T1 NSA'!I68),$D$197)</f>
        <v>4.2300000000000004</v>
      </c>
      <c r="I198" s="48">
        <f>ROUND(('T1 NSA'!J66/'T1 NSA'!J68),$D$197)</f>
        <v>4.5199999999999996</v>
      </c>
      <c r="J198" s="48">
        <f>ROUND(('T1 NSA'!K66/'T1 NSA'!K68),$D$197)</f>
        <v>6.14</v>
      </c>
      <c r="K198" s="48">
        <f>ROUND(('T1 NSA'!L66/'T1 NSA'!L68),$D$197)</f>
        <v>6.05</v>
      </c>
      <c r="L198" s="48">
        <f>ROUND(('T1 NSA'!M66/'T1 NSA'!M68),$D$197)</f>
        <v>6.09</v>
      </c>
      <c r="M198" s="48">
        <f>ROUND(('T1 NSA'!N66/'T1 NSA'!N68),$D$197)</f>
        <v>4.2</v>
      </c>
      <c r="N198" s="48">
        <f>ROUND(('T1 NSA'!O66/'T1 NSA'!O68),$D$197)</f>
        <v>3.65</v>
      </c>
      <c r="O198" s="48">
        <f>ROUND(('T1 NSA'!P66/'T1 NSA'!P68),$D$197)</f>
        <v>3.46</v>
      </c>
      <c r="P198" s="16"/>
      <c r="Q198" s="48">
        <f>ROUND(('T1 NSA'!R66/'T1 NSA'!R68),$D$197)</f>
        <v>6.14</v>
      </c>
    </row>
    <row r="199" spans="1:17" s="44" customFormat="1" ht="15" customHeight="1" outlineLevel="1">
      <c r="A199" s="54"/>
      <c r="B199" s="40"/>
      <c r="C199" s="41" t="s">
        <v>44</v>
      </c>
      <c r="D199" s="45"/>
      <c r="E199" s="48">
        <f>ROUND('T1 NSA'!F70,$D$197)</f>
        <v>5.59</v>
      </c>
      <c r="F199" s="48">
        <f>ROUND('T1 NSA'!G70,$D$197)</f>
        <v>4.17</v>
      </c>
      <c r="G199" s="48">
        <f>ROUND('T1 NSA'!H70,$D$197)</f>
        <v>4.26</v>
      </c>
      <c r="H199" s="48">
        <f>ROUND('T1 NSA'!I70,$D$197)</f>
        <v>4.2300000000000004</v>
      </c>
      <c r="I199" s="48">
        <f>ROUND('T1 NSA'!J70,$D$197)</f>
        <v>4.5199999999999996</v>
      </c>
      <c r="J199" s="48">
        <f>ROUND('T1 NSA'!K70,$D$197)</f>
        <v>6.14</v>
      </c>
      <c r="K199" s="48">
        <f>ROUND('T1 NSA'!L70,$D$197)</f>
        <v>6.05</v>
      </c>
      <c r="L199" s="48">
        <f>ROUND('T1 NSA'!M70,$D$197)</f>
        <v>6.09</v>
      </c>
      <c r="M199" s="48">
        <f>ROUND('T1 NSA'!N70,$D$197)</f>
        <v>4.2</v>
      </c>
      <c r="N199" s="48">
        <f>ROUND('T1 NSA'!O70,$D$197)</f>
        <v>3.65</v>
      </c>
      <c r="O199" s="48">
        <f>ROUND('T1 NSA'!P70,$D$197)</f>
        <v>3.46</v>
      </c>
      <c r="P199" s="16"/>
      <c r="Q199" s="48">
        <f>ROUND('T1 NSA'!R70,$D$197)</f>
        <v>6.14</v>
      </c>
    </row>
    <row r="200" spans="1:17" s="38" customFormat="1" ht="15" customHeight="1">
      <c r="A200" s="33" t="s">
        <v>68</v>
      </c>
      <c r="B200" s="34" t="s">
        <v>69</v>
      </c>
      <c r="C200" s="59" t="s">
        <v>70</v>
      </c>
      <c r="D200" s="36">
        <v>3</v>
      </c>
      <c r="E200" s="37" t="str">
        <f>IF('T1 NSA'!F16&gt;0,(ROUND('T1 NSA'!F41,$D$200)=ROUND('T1 NSA'!F16/'T1 NSA'!F39,$D$200)),"N/A")</f>
        <v>N/A</v>
      </c>
      <c r="F200" s="37" t="str">
        <f>IF('T1 NSA'!G16&gt;0,(ROUND('T1 NSA'!G41,$D$200)=ROUND('T1 NSA'!G16/'T1 NSA'!G39,$D$200)),"N/A")</f>
        <v>N/A</v>
      </c>
      <c r="G200" s="37" t="str">
        <f>IF('T1 NSA'!H16&gt;0,(ROUND('T1 NSA'!H41,$D$200)=ROUND('T1 NSA'!H16/'T1 NSA'!H39,$D$200)),"N/A")</f>
        <v>N/A</v>
      </c>
      <c r="H200" s="37" t="str">
        <f>IF('T1 NSA'!I16&gt;0,(ROUND('T1 NSA'!I41,$D$200)=ROUND('T1 NSA'!I16/'T1 NSA'!I39,$D$200)),"N/A")</f>
        <v>N/A</v>
      </c>
      <c r="I200" s="37" t="str">
        <f>IF('T1 NSA'!J16&gt;0,(ROUND('T1 NSA'!J41,$D$200)=ROUND('T1 NSA'!J16/'T1 NSA'!J39,$D$200)),"N/A")</f>
        <v>N/A</v>
      </c>
      <c r="J200" s="37" t="str">
        <f>IF('T1 NSA'!K16&gt;0,(ROUND('T1 NSA'!K41,$D$200)=ROUND('T1 NSA'!K16/'T1 NSA'!K39,$D$200)),"N/A")</f>
        <v>N/A</v>
      </c>
      <c r="K200" s="37" t="str">
        <f>IF('T1 NSA'!L16&gt;0,(ROUND('T1 NSA'!L41,$D$200)=ROUND('T1 NSA'!L16/'T1 NSA'!L39,$D$200)),"N/A")</f>
        <v>N/A</v>
      </c>
      <c r="L200" s="44"/>
      <c r="M200" s="37" t="str">
        <f>IF('T1 NSA'!N16&gt;0,(ROUND('T1 NSA'!N41,$D$200)=ROUND('T1 NSA'!N16/'T1 NSA'!N39,$D$200)),"N/A")</f>
        <v>N/A</v>
      </c>
      <c r="N200" s="37" t="str">
        <f>IF('T1 NSA'!O16&gt;0,(ROUND('T1 NSA'!O41,$D$200)=ROUND('T1 NSA'!O16/'T1 NSA'!O39,$D$200)),"N/A")</f>
        <v>N/A</v>
      </c>
      <c r="O200" s="37" t="str">
        <f>IF('T1 NSA'!P16&gt;0,(ROUND('T1 NSA'!P41,$D$200)=ROUND('T1 NSA'!P16/'T1 NSA'!P39,$D$200)),"N/A")</f>
        <v>N/A</v>
      </c>
      <c r="P200" s="16"/>
      <c r="Q200" s="37" t="str">
        <f>IF('T1 NSA'!R16&gt;0,(ROUND('T1 NSA'!R41,$D$200)=ROUND('T1 NSA'!R16/'T1 NSA'!R39,$D$200)),"N/A")</f>
        <v>N/A</v>
      </c>
    </row>
    <row r="201" spans="1:17" s="44" customFormat="1" ht="15" customHeight="1" outlineLevel="1">
      <c r="A201" s="39"/>
      <c r="B201" s="40"/>
      <c r="C201" s="41" t="s">
        <v>71</v>
      </c>
      <c r="D201" s="45"/>
      <c r="E201" s="60" t="str">
        <f>IF('T1 NSA'!F16&gt;0,(ROUND('T1 NSA'!F41,$D$200)),"N/A")</f>
        <v>N/A</v>
      </c>
      <c r="F201" s="60" t="str">
        <f>IF('T1 NSA'!G16&gt;0,(ROUND('T1 NSA'!G41,$D$200)),"N/A")</f>
        <v>N/A</v>
      </c>
      <c r="G201" s="60" t="str">
        <f>IF('T1 NSA'!H16&gt;0,(ROUND('T1 NSA'!H41,$D$200)),"N/A")</f>
        <v>N/A</v>
      </c>
      <c r="H201" s="60" t="str">
        <f>IF('T1 NSA'!I16&gt;0,(ROUND('T1 NSA'!I41,$D$200)),"N/A")</f>
        <v>N/A</v>
      </c>
      <c r="I201" s="60" t="str">
        <f>IF('T1 NSA'!J16&gt;0,(ROUND('T1 NSA'!J41,$D$200)),"N/A")</f>
        <v>N/A</v>
      </c>
      <c r="J201" s="60" t="str">
        <f>IF('T1 NSA'!K16&gt;0,(ROUND('T1 NSA'!K41,$D$200)),"N/A")</f>
        <v>N/A</v>
      </c>
      <c r="K201" s="60" t="str">
        <f>IF('T1 NSA'!L16&gt;0,(ROUND('T1 NSA'!L41,$D$200)),"N/A")</f>
        <v>N/A</v>
      </c>
      <c r="M201" s="60" t="str">
        <f>IF('T1 NSA'!N16&gt;0,(ROUND('T1 NSA'!N41,$D$200)),"N/A")</f>
        <v>N/A</v>
      </c>
      <c r="N201" s="60" t="str">
        <f>IF('T1 NSA'!O16&gt;0,(ROUND('T1 NSA'!O41,$D$200)),"N/A")</f>
        <v>N/A</v>
      </c>
      <c r="O201" s="60" t="str">
        <f>IF('T1 NSA'!P16&gt;0,(ROUND('T1 NSA'!P41,$D$200)),"N/A")</f>
        <v>N/A</v>
      </c>
      <c r="P201" s="16"/>
      <c r="Q201" s="60" t="str">
        <f>IF('T1 NSA'!R16&gt;0,(ROUND('T1 NSA'!R41,$D$200)),"N/A")</f>
        <v>N/A</v>
      </c>
    </row>
    <row r="202" spans="1:17" s="44" customFormat="1" ht="15" customHeight="1" outlineLevel="1">
      <c r="A202" s="39"/>
      <c r="B202" s="40"/>
      <c r="C202" s="41" t="s">
        <v>72</v>
      </c>
      <c r="D202" s="45"/>
      <c r="E202" s="60" t="str">
        <f>IF('T1 NSA'!F16&gt;0,ROUND('T1 NSA'!F16/'T1 NSA'!F39,$D$200),"N/A")</f>
        <v>N/A</v>
      </c>
      <c r="F202" s="60" t="str">
        <f>IF('T1 NSA'!G16&gt;0,ROUND('T1 NSA'!G16/'T1 NSA'!G39,$D$200),"N/A")</f>
        <v>N/A</v>
      </c>
      <c r="G202" s="60" t="str">
        <f>IF('T1 NSA'!H16&gt;0,ROUND('T1 NSA'!H16/'T1 NSA'!H39,$D$200),"N/A")</f>
        <v>N/A</v>
      </c>
      <c r="H202" s="60" t="str">
        <f>IF('T1 NSA'!I16&gt;0,ROUND('T1 NSA'!I16/'T1 NSA'!I39,$D$200),"N/A")</f>
        <v>N/A</v>
      </c>
      <c r="I202" s="60" t="str">
        <f>IF('T1 NSA'!J16&gt;0,ROUND('T1 NSA'!J16/'T1 NSA'!J39,$D$200),"N/A")</f>
        <v>N/A</v>
      </c>
      <c r="J202" s="60" t="str">
        <f>IF('T1 NSA'!K16&gt;0,ROUND('T1 NSA'!K16/'T1 NSA'!K39,$D$200),"N/A")</f>
        <v>N/A</v>
      </c>
      <c r="K202" s="60" t="str">
        <f>IF('T1 NSA'!L16&gt;0,ROUND('T1 NSA'!L16/'T1 NSA'!L39,$D$200),"N/A")</f>
        <v>N/A</v>
      </c>
      <c r="M202" s="60" t="str">
        <f>IF('T1 NSA'!N16&gt;0,ROUND('T1 NSA'!N16/'T1 NSA'!N39,$D$200),"N/A")</f>
        <v>N/A</v>
      </c>
      <c r="N202" s="60" t="str">
        <f>IF('T1 NSA'!O16&gt;0,ROUND('T1 NSA'!O16/'T1 NSA'!O39,$D$200),"N/A")</f>
        <v>N/A</v>
      </c>
      <c r="O202" s="60" t="str">
        <f>IF('T1 NSA'!P16&gt;0,ROUND('T1 NSA'!P16/'T1 NSA'!P39,$D$200),"N/A")</f>
        <v>N/A</v>
      </c>
      <c r="P202" s="16"/>
      <c r="Q202" s="60" t="str">
        <f>IF('T1 NSA'!R16&gt;0,ROUND('T1 NSA'!R16/'T1 NSA'!R39,$D$200),"N/A")</f>
        <v>N/A</v>
      </c>
    </row>
    <row r="203" spans="1:17" s="38" customFormat="1" ht="15" customHeight="1">
      <c r="A203" s="33" t="s">
        <v>73</v>
      </c>
      <c r="B203" s="34" t="s">
        <v>74</v>
      </c>
      <c r="C203" s="61" t="s">
        <v>75</v>
      </c>
      <c r="D203" s="36">
        <v>2</v>
      </c>
      <c r="E203" s="37" t="str">
        <f>IF('T1 NSA'!F16&gt;0,IF(ISERROR(ROUND(('T1 NSA'!F16-('T1 NSA'!F39*'T1 NSA'!F43))/(('T1 NSA'!F39*'T1 NSA'!F42)-('T1 NSA'!F39*'T1 NSA'!F43)),$D$203)),"N/A",ROUND(('T1 NSA'!F16-('T1 NSA'!F39*'T1 NSA'!F43))/(('T1 NSA'!F39*'T1 NSA'!F42)-('T1 NSA'!F39*'T1 NSA'!F43)),$D$203))=ROUND('T1 NSA'!F44,$D$203),"N/A")</f>
        <v>N/A</v>
      </c>
      <c r="F203" s="37" t="str">
        <f>IF('T1 NSA'!G16&gt;0,IF(ISERROR(ROUND(('T1 NSA'!G16-('T1 NSA'!G39*'T1 NSA'!G43))/(('T1 NSA'!G39*'T1 NSA'!G42)-('T1 NSA'!G39*'T1 NSA'!G43)),$D$203)),"N/A",ROUND(('T1 NSA'!G16-('T1 NSA'!G39*'T1 NSA'!G43))/(('T1 NSA'!G39*'T1 NSA'!G42)-('T1 NSA'!G39*'T1 NSA'!G43)),$D$203))=ROUND('T1 NSA'!G44,$D$203),"N/A")</f>
        <v>N/A</v>
      </c>
      <c r="G203" s="37" t="str">
        <f>IF('T1 NSA'!H16&gt;0,IF(ISERROR(ROUND(('T1 NSA'!H16-('T1 NSA'!H39*'T1 NSA'!H43))/(('T1 NSA'!H39*'T1 NSA'!H42)-('T1 NSA'!H39*'T1 NSA'!H43)),$D$203)),"N/A",ROUND(('T1 NSA'!H16-('T1 NSA'!H39*'T1 NSA'!H43))/(('T1 NSA'!H39*'T1 NSA'!H42)-('T1 NSA'!H39*'T1 NSA'!H43)),$D$203))=ROUND('T1 NSA'!H44,$D$203),"N/A")</f>
        <v>N/A</v>
      </c>
      <c r="H203" s="37" t="str">
        <f>IF('T1 NSA'!I16&gt;0,IF(ISERROR(ROUND(('T1 NSA'!I16-('T1 NSA'!I39*'T1 NSA'!I43))/(('T1 NSA'!I39*'T1 NSA'!I42)-('T1 NSA'!I39*'T1 NSA'!I43)),$D$203)),"N/A",ROUND(('T1 NSA'!I16-('T1 NSA'!I39*'T1 NSA'!I43))/(('T1 NSA'!I39*'T1 NSA'!I42)-('T1 NSA'!I39*'T1 NSA'!I43)),$D$203))=ROUND('T1 NSA'!I44,$D$203),"N/A")</f>
        <v>N/A</v>
      </c>
      <c r="I203" s="37" t="str">
        <f>IF('T1 NSA'!J16&gt;0,IF(ISERROR(ROUND(('T1 NSA'!J16-('T1 NSA'!J39*'T1 NSA'!J43))/(('T1 NSA'!J39*'T1 NSA'!J42)-('T1 NSA'!J39*'T1 NSA'!J43)),$D$203)),"N/A",ROUND(('T1 NSA'!J16-('T1 NSA'!J39*'T1 NSA'!J43))/(('T1 NSA'!J39*'T1 NSA'!J42)-('T1 NSA'!J39*'T1 NSA'!J43)),$D$203))=ROUND('T1 NSA'!J44,$D$203),"N/A")</f>
        <v>N/A</v>
      </c>
      <c r="J203" s="37" t="str">
        <f>IF('T1 NSA'!K16&gt;0,IF(ISERROR(ROUND(('T1 NSA'!K16-('T1 NSA'!K39*'T1 NSA'!K43))/(('T1 NSA'!K39*'T1 NSA'!K42)-('T1 NSA'!K39*'T1 NSA'!K43)),$D$203)),"N/A",ROUND(('T1 NSA'!K16-('T1 NSA'!K39*'T1 NSA'!K43))/(('T1 NSA'!K39*'T1 NSA'!K42)-('T1 NSA'!K39*'T1 NSA'!K43)),$D$203))=ROUND('T1 NSA'!K44,$D$203),"N/A")</f>
        <v>N/A</v>
      </c>
      <c r="K203" s="37" t="str">
        <f>IF('T1 NSA'!L16&gt;0,IF(ISERROR(ROUND(('T1 NSA'!L16-('T1 NSA'!L39*'T1 NSA'!L43))/(('T1 NSA'!L39*'T1 NSA'!L42)-('T1 NSA'!L39*'T1 NSA'!L43)),$D$203)),"N/A",ROUND(('T1 NSA'!L16-('T1 NSA'!L39*'T1 NSA'!L43))/(('T1 NSA'!L39*'T1 NSA'!L42)-('T1 NSA'!L39*'T1 NSA'!L43)),$D$203))=ROUND('T1 NSA'!L44,$D$203),"N/A")</f>
        <v>N/A</v>
      </c>
      <c r="L203" s="44"/>
      <c r="M203" s="37" t="str">
        <f>IF('T1 NSA'!N16&gt;0,IF(ISERROR(ROUND(('T1 NSA'!N16-('T1 NSA'!N39*'T1 NSA'!N43))/(('T1 NSA'!N39*'T1 NSA'!N42)-('T1 NSA'!N39*'T1 NSA'!N43)),$D$203)),"N/A",ROUND(('T1 NSA'!N16-('T1 NSA'!N39*'T1 NSA'!N43))/(('T1 NSA'!N39*'T1 NSA'!N42)-('T1 NSA'!N39*'T1 NSA'!N43)),$D$203))=ROUND('T1 NSA'!N44,$D$203),"N/A")</f>
        <v>N/A</v>
      </c>
      <c r="N203" s="37" t="str">
        <f>IF('T1 NSA'!O16&gt;0,IF(ISERROR(ROUND(('T1 NSA'!O16-('T1 NSA'!O39*'T1 NSA'!O43))/(('T1 NSA'!O39*'T1 NSA'!O42)-('T1 NSA'!O39*'T1 NSA'!O43)),$D$203)),"N/A",ROUND(('T1 NSA'!O16-('T1 NSA'!O39*'T1 NSA'!O43))/(('T1 NSA'!O39*'T1 NSA'!O42)-('T1 NSA'!O39*'T1 NSA'!O43)),$D$203))=ROUND('T1 NSA'!O44,$D$203),"N/A")</f>
        <v>N/A</v>
      </c>
      <c r="O203" s="37" t="str">
        <f>IF('T1 NSA'!P16&gt;0,IF(ISERROR(ROUND(('T1 NSA'!P16-('T1 NSA'!P39*'T1 NSA'!P43))/(('T1 NSA'!P39*'T1 NSA'!P42)-('T1 NSA'!P39*'T1 NSA'!P43)),$D$203)),"N/A",ROUND(('T1 NSA'!P16-('T1 NSA'!P39*'T1 NSA'!P43))/(('T1 NSA'!P39*'T1 NSA'!P42)-('T1 NSA'!P39*'T1 NSA'!P43)),$D$203))=ROUND('T1 NSA'!P44,$D$203),"N/A")</f>
        <v>N/A</v>
      </c>
      <c r="P203" s="16"/>
      <c r="Q203" s="37" t="str">
        <f>IF('T1 NSA'!R16&gt;0,IF(ISERROR(ROUND(('T1 NSA'!R16-('T1 NSA'!R39*'T1 NSA'!R43))/(('T1 NSA'!R39*'T1 NSA'!R42)-('T1 NSA'!R39*'T1 NSA'!R43)),$D$203)),"N/A",ROUND(('T1 NSA'!R16-('T1 NSA'!R39*'T1 NSA'!R43))/(('T1 NSA'!R39*'T1 NSA'!R42)-('T1 NSA'!R39*'T1 NSA'!R43)),$D$203))=ROUND('T1 NSA'!R44,$D$203),"N/A")</f>
        <v>N/A</v>
      </c>
    </row>
    <row r="204" spans="1:17" s="44" customFormat="1" ht="15" customHeight="1" outlineLevel="1">
      <c r="A204" s="39"/>
      <c r="B204" s="40"/>
      <c r="C204" s="62" t="s">
        <v>76</v>
      </c>
      <c r="D204" s="45"/>
      <c r="E204" s="63" t="str">
        <f>IF('T1 NSA'!F16&gt;0,IF(ISERROR(ROUND(('T1 NSA'!F16-('T1 NSA'!F39*'T1 NSA'!F43))/(('T1 NSA'!F39*'T1 NSA'!F42)-('T1 NSA'!F39*'T1 NSA'!F43)),$D$203)),"N/A",ROUND(('T1 NSA'!F16-('T1 NSA'!F39*'T1 NSA'!F43))/(('T1 NSA'!F39*'T1 NSA'!F42)-('T1 NSA'!F39*'T1 NSA'!F43)),$D$203)),"N/A")</f>
        <v>N/A</v>
      </c>
      <c r="F204" s="63" t="str">
        <f>IF('T1 NSA'!G16&gt;0,IF(ISERROR(ROUND(('T1 NSA'!G16-('T1 NSA'!G39*'T1 NSA'!G43))/(('T1 NSA'!G39*'T1 NSA'!G42)-('T1 NSA'!G39*'T1 NSA'!G43)),$D$203)),"N/A",ROUND(('T1 NSA'!G16-('T1 NSA'!G39*'T1 NSA'!G43))/(('T1 NSA'!G39*'T1 NSA'!G42)-('T1 NSA'!G39*'T1 NSA'!G43)),$D$203)),"N/A")</f>
        <v>N/A</v>
      </c>
      <c r="G204" s="63" t="str">
        <f>IF('T1 NSA'!H16&gt;0,IF(ISERROR(ROUND(('T1 NSA'!H16-('T1 NSA'!H39*'T1 NSA'!H43))/(('T1 NSA'!H39*'T1 NSA'!H42)-('T1 NSA'!H39*'T1 NSA'!H43)),$D$203)),"N/A",ROUND(('T1 NSA'!H16-('T1 NSA'!H39*'T1 NSA'!H43))/(('T1 NSA'!H39*'T1 NSA'!H42)-('T1 NSA'!H39*'T1 NSA'!H43)),$D$203)),"N/A")</f>
        <v>N/A</v>
      </c>
      <c r="H204" s="63" t="str">
        <f>IF('T1 NSA'!I16&gt;0,IF(ISERROR(ROUND(('T1 NSA'!I16-('T1 NSA'!I39*'T1 NSA'!I43))/(('T1 NSA'!I39*'T1 NSA'!I42)-('T1 NSA'!I39*'T1 NSA'!I43)),$D$203)),"N/A",ROUND(('T1 NSA'!I16-('T1 NSA'!I39*'T1 NSA'!I43))/(('T1 NSA'!I39*'T1 NSA'!I42)-('T1 NSA'!I39*'T1 NSA'!I43)),$D$203)),"N/A")</f>
        <v>N/A</v>
      </c>
      <c r="I204" s="63" t="str">
        <f>IF('T1 NSA'!J16&gt;0,IF(ISERROR(ROUND(('T1 NSA'!J16-('T1 NSA'!J39*'T1 NSA'!J43))/(('T1 NSA'!J39*'T1 NSA'!J42)-('T1 NSA'!J39*'T1 NSA'!J43)),$D$203)),"N/A",ROUND(('T1 NSA'!J16-('T1 NSA'!J39*'T1 NSA'!J43))/(('T1 NSA'!J39*'T1 NSA'!J42)-('T1 NSA'!J39*'T1 NSA'!J43)),$D$203)),"N/A")</f>
        <v>N/A</v>
      </c>
      <c r="J204" s="63" t="str">
        <f>IF('T1 NSA'!K16&gt;0,IF(ISERROR(ROUND(('T1 NSA'!K16-('T1 NSA'!K39*'T1 NSA'!K43))/(('T1 NSA'!K39*'T1 NSA'!K42)-('T1 NSA'!K39*'T1 NSA'!K43)),$D$203)),"N/A",ROUND(('T1 NSA'!K16-('T1 NSA'!K39*'T1 NSA'!K43))/(('T1 NSA'!K39*'T1 NSA'!K42)-('T1 NSA'!K39*'T1 NSA'!K43)),$D$203)),"N/A")</f>
        <v>N/A</v>
      </c>
      <c r="K204" s="63" t="str">
        <f>IF('T1 NSA'!L16&gt;0,IF(ISERROR(ROUND(('T1 NSA'!L16-('T1 NSA'!L39*'T1 NSA'!L43))/(('T1 NSA'!L39*'T1 NSA'!L42)-('T1 NSA'!L39*'T1 NSA'!L43)),$D$203)),"N/A",ROUND(('T1 NSA'!L16-('T1 NSA'!L39*'T1 NSA'!L43))/(('T1 NSA'!L39*'T1 NSA'!L42)-('T1 NSA'!L39*'T1 NSA'!L43)),$D$203)),"N/A")</f>
        <v>N/A</v>
      </c>
      <c r="M204" s="63" t="str">
        <f>IF('T1 NSA'!N16&gt;0,IF(ISERROR(ROUND(('T1 NSA'!N16-('T1 NSA'!N39*'T1 NSA'!N43))/(('T1 NSA'!N39*'T1 NSA'!N42)-('T1 NSA'!N39*'T1 NSA'!N43)),$D$203)),"N/A",ROUND(('T1 NSA'!N16-('T1 NSA'!N39*'T1 NSA'!N43))/(('T1 NSA'!N39*'T1 NSA'!N42)-('T1 NSA'!N39*'T1 NSA'!N43)),$D$203)),"N/A")</f>
        <v>N/A</v>
      </c>
      <c r="N204" s="63" t="str">
        <f>IF('T1 NSA'!O16&gt;0,IF(ISERROR(ROUND(('T1 NSA'!O16-('T1 NSA'!O39*'T1 NSA'!O43))/(('T1 NSA'!O39*'T1 NSA'!O42)-('T1 NSA'!O39*'T1 NSA'!O43)),$D$203)),"N/A",ROUND(('T1 NSA'!O16-('T1 NSA'!O39*'T1 NSA'!O43))/(('T1 NSA'!O39*'T1 NSA'!O42)-('T1 NSA'!O39*'T1 NSA'!O43)),$D$203)),"N/A")</f>
        <v>N/A</v>
      </c>
      <c r="O204" s="63" t="str">
        <f>IF('T1 NSA'!P16&gt;0,IF(ISERROR(ROUND(('T1 NSA'!P16-('T1 NSA'!P39*'T1 NSA'!P43))/(('T1 NSA'!P39*'T1 NSA'!P42)-('T1 NSA'!P39*'T1 NSA'!P43)),$D$203)),"N/A",ROUND(('T1 NSA'!P16-('T1 NSA'!P39*'T1 NSA'!P43))/(('T1 NSA'!P39*'T1 NSA'!P42)-('T1 NSA'!P39*'T1 NSA'!P43)),$D$203)),"N/A")</f>
        <v>N/A</v>
      </c>
      <c r="P204" s="16"/>
      <c r="Q204" s="63" t="str">
        <f>IF('T1 NSA'!R16&gt;0,IF(ISERROR(ROUND(('T1 NSA'!R16-('T1 NSA'!R39*'T1 NSA'!R43))/(('T1 NSA'!R39*'T1 NSA'!R42)-('T1 NSA'!R39*'T1 NSA'!R43)),$D$203)),"N/A",ROUND(('T1 NSA'!R16-('T1 NSA'!R39*'T1 NSA'!R43))/(('T1 NSA'!R39*'T1 NSA'!R42)-('T1 NSA'!R39*'T1 NSA'!R43)),$D$203)),"N/A")</f>
        <v>N/A</v>
      </c>
    </row>
    <row r="205" spans="1:17" s="44" customFormat="1" ht="15" customHeight="1" outlineLevel="1">
      <c r="A205" s="39"/>
      <c r="B205" s="40"/>
      <c r="C205" s="62" t="s">
        <v>77</v>
      </c>
      <c r="D205" s="45"/>
      <c r="E205" s="64" t="str">
        <f>IF('T1 NSA'!F16&gt;0,ROUND('T1 NSA'!F44,$D$203),"N/A")</f>
        <v>N/A</v>
      </c>
      <c r="F205" s="64" t="str">
        <f>IF('T1 NSA'!G16&gt;0,ROUND('T1 NSA'!G44,$D$203),"N/A")</f>
        <v>N/A</v>
      </c>
      <c r="G205" s="64" t="str">
        <f>IF('T1 NSA'!H16&gt;0,ROUND('T1 NSA'!H44,$D$203),"N/A")</f>
        <v>N/A</v>
      </c>
      <c r="H205" s="64" t="str">
        <f>IF('T1 NSA'!I16&gt;0,ROUND('T1 NSA'!I44,$D$203),"N/A")</f>
        <v>N/A</v>
      </c>
      <c r="I205" s="64" t="str">
        <f>IF('T1 NSA'!J16&gt;0,ROUND('T1 NSA'!J44,$D$203),"N/A")</f>
        <v>N/A</v>
      </c>
      <c r="J205" s="64" t="str">
        <f>IF('T1 NSA'!K16&gt;0,ROUND('T1 NSA'!K44,$D$203),"N/A")</f>
        <v>N/A</v>
      </c>
      <c r="K205" s="64" t="str">
        <f>IF('T1 NSA'!L16&gt;0,ROUND('T1 NSA'!L44,$D$203),"N/A")</f>
        <v>N/A</v>
      </c>
      <c r="M205" s="64" t="str">
        <f>IF('T1 NSA'!N16&gt;0,ROUND('T1 NSA'!N44,$D$203),"N/A")</f>
        <v>N/A</v>
      </c>
      <c r="N205" s="64" t="str">
        <f>IF('T1 NSA'!O16&gt;0,ROUND('T1 NSA'!O44,$D$203),"N/A")</f>
        <v>N/A</v>
      </c>
      <c r="O205" s="64" t="str">
        <f>IF('T1 NSA'!P16&gt;0,ROUND('T1 NSA'!P44,$D$203),"N/A")</f>
        <v>N/A</v>
      </c>
      <c r="P205" s="16"/>
      <c r="Q205" s="64" t="str">
        <f>IF('T1 NSA'!R16&gt;0,ROUND('T1 NSA'!R44,$D$203),"N/A")</f>
        <v>N/A</v>
      </c>
    </row>
    <row r="206" spans="1:17" s="38" customFormat="1" ht="15" customHeight="1">
      <c r="A206" s="52" t="s">
        <v>78</v>
      </c>
      <c r="B206" s="34" t="s">
        <v>79</v>
      </c>
      <c r="C206" s="35" t="s">
        <v>80</v>
      </c>
      <c r="D206" s="36">
        <v>3</v>
      </c>
      <c r="E206" s="37" t="b">
        <f>ROUND(SUM('T1 NSA'!F36:F38),$D$206)=ROUND('T1 NSA'!F39,$D$206)</f>
        <v>1</v>
      </c>
      <c r="F206" s="37" t="b">
        <f>ROUND(SUM('T1 NSA'!G36:G38),$D$206)=ROUND('T1 NSA'!G39,$D$206)</f>
        <v>1</v>
      </c>
      <c r="G206" s="37" t="b">
        <f>ROUND(SUM('T1 NSA'!H36:H38),$D$206)=ROUND('T1 NSA'!H39,$D$206)</f>
        <v>1</v>
      </c>
      <c r="H206" s="37" t="b">
        <f>ROUND(SUM('T1 NSA'!I36:I38),$D$206)=ROUND('T1 NSA'!I39,$D$206)</f>
        <v>1</v>
      </c>
      <c r="I206" s="37" t="b">
        <f>ROUND(SUM('T1 NSA'!J36:J38),$D$206)=ROUND('T1 NSA'!J39,$D$206)</f>
        <v>1</v>
      </c>
      <c r="J206" s="37" t="b">
        <f>ROUND(SUM('T1 NSA'!K36:K38),$D$206)=ROUND('T1 NSA'!K39,$D$206)</f>
        <v>1</v>
      </c>
      <c r="K206" s="37" t="b">
        <f>ROUND(SUM('T1 NSA'!L36:L38),$D$206)=ROUND('T1 NSA'!L39,$D$206)</f>
        <v>1</v>
      </c>
      <c r="L206" s="44"/>
      <c r="M206" s="37" t="b">
        <f>ROUND(SUM('T1 NSA'!N36:N38),$D$206)=ROUND('T1 NSA'!N39,$D$206)</f>
        <v>1</v>
      </c>
      <c r="N206" s="37" t="b">
        <f>ROUND(SUM('T1 NSA'!O36:O38),$D$206)=ROUND('T1 NSA'!O39,$D$206)</f>
        <v>1</v>
      </c>
      <c r="O206" s="37" t="b">
        <f>ROUND(SUM('T1 NSA'!P36:P38),$D$206)=ROUND('T1 NSA'!P39,$D$206)</f>
        <v>1</v>
      </c>
      <c r="P206" s="16"/>
      <c r="Q206" s="37" t="b">
        <f>ROUND(SUM('T1 NSA'!R36:R38),$D$206)=ROUND('T1 NSA'!R39,$D$206)</f>
        <v>1</v>
      </c>
    </row>
    <row r="207" spans="1:17" s="44" customFormat="1" ht="15" customHeight="1" outlineLevel="1">
      <c r="A207" s="54"/>
      <c r="B207" s="40"/>
      <c r="C207" s="41" t="s">
        <v>81</v>
      </c>
      <c r="D207" s="45"/>
      <c r="E207" s="672">
        <f>ROUND(SUM('T1 NSA'!F36:F38),$D$206)</f>
        <v>0</v>
      </c>
      <c r="F207" s="672">
        <f>ROUND(SUM('T1 NSA'!G36:G38),$D$206)</f>
        <v>0</v>
      </c>
      <c r="G207" s="672">
        <f>ROUND(SUM('T1 NSA'!H36:H38),$D$206)</f>
        <v>0</v>
      </c>
      <c r="H207" s="672">
        <f>ROUND(SUM('T1 NSA'!I36:I38),$D$206)</f>
        <v>0</v>
      </c>
      <c r="I207" s="672">
        <f>ROUND(SUM('T1 NSA'!J36:J38),$D$206)</f>
        <v>0</v>
      </c>
      <c r="J207" s="672">
        <f>ROUND(SUM('T1 NSA'!K36:K38),$D$206)</f>
        <v>0</v>
      </c>
      <c r="K207" s="672">
        <f>ROUND(SUM('T1 NSA'!L36:L38),$D$206)</f>
        <v>0</v>
      </c>
      <c r="M207" s="672">
        <f>ROUND(SUM('T1 NSA'!N36:N38),$D$206)</f>
        <v>0</v>
      </c>
      <c r="N207" s="672">
        <f>ROUND(SUM('T1 NSA'!O36:O38),$D$206)</f>
        <v>0</v>
      </c>
      <c r="O207" s="672">
        <f>ROUND(SUM('T1 NSA'!P36:P38),$D$206)</f>
        <v>0</v>
      </c>
      <c r="P207" s="16"/>
      <c r="Q207" s="672">
        <f>ROUND(SUM('T1 NSA'!R36:R38),$D$206)</f>
        <v>0</v>
      </c>
    </row>
    <row r="208" spans="1:17" s="44" customFormat="1" ht="15" customHeight="1" outlineLevel="1">
      <c r="A208" s="54"/>
      <c r="B208" s="40"/>
      <c r="C208" s="41" t="s">
        <v>82</v>
      </c>
      <c r="D208" s="45"/>
      <c r="E208" s="672">
        <f>ROUND('T1 NSA'!F39,$D$206)</f>
        <v>0</v>
      </c>
      <c r="F208" s="672">
        <f>ROUND('T1 NSA'!G39,$D$206)</f>
        <v>0</v>
      </c>
      <c r="G208" s="672">
        <f>ROUND('T1 NSA'!H39,$D$206)</f>
        <v>0</v>
      </c>
      <c r="H208" s="672">
        <f>ROUND('T1 NSA'!I39,$D$206)</f>
        <v>0</v>
      </c>
      <c r="I208" s="672">
        <f>ROUND('T1 NSA'!J39,$D$206)</f>
        <v>0</v>
      </c>
      <c r="J208" s="672">
        <f>ROUND('T1 NSA'!K39,$D$206)</f>
        <v>0</v>
      </c>
      <c r="K208" s="672">
        <f>ROUND('T1 NSA'!L39,$D$206)</f>
        <v>0</v>
      </c>
      <c r="M208" s="672">
        <f>ROUND('T1 NSA'!N39,$D$206)</f>
        <v>0</v>
      </c>
      <c r="N208" s="672">
        <f>ROUND('T1 NSA'!O39,$D$206)</f>
        <v>0</v>
      </c>
      <c r="O208" s="672">
        <f>ROUND('T1 NSA'!P39,$D$206)</f>
        <v>0</v>
      </c>
      <c r="P208" s="16"/>
      <c r="Q208" s="672">
        <f>ROUND('T1 NSA'!R39,$D$206)</f>
        <v>0</v>
      </c>
    </row>
    <row r="209" spans="1:17" s="38" customFormat="1" ht="15" customHeight="1">
      <c r="A209" s="33" t="s">
        <v>83</v>
      </c>
      <c r="B209" s="34" t="s">
        <v>79</v>
      </c>
      <c r="C209" s="61" t="s">
        <v>84</v>
      </c>
      <c r="D209" s="36">
        <v>3</v>
      </c>
      <c r="E209" s="37" t="b">
        <f>IF(ROUND('T1 NSA'!F39,$D$209)=0,ROUND('T1 NSA'!F16,$D$209)=0,TRUE)</f>
        <v>1</v>
      </c>
      <c r="F209" s="37" t="b">
        <f>IF(ROUND('T1 NSA'!G39,$D$209)=0,ROUND('T1 NSA'!G16,$D$209)=0,TRUE)</f>
        <v>1</v>
      </c>
      <c r="G209" s="37" t="b">
        <f>IF(ROUND('T1 NSA'!H39,$D$209)=0,ROUND('T1 NSA'!H16,$D$209)=0,TRUE)</f>
        <v>1</v>
      </c>
      <c r="H209" s="37" t="b">
        <f>IF(ROUND('T1 NSA'!I39,$D$209)=0,ROUND('T1 NSA'!I16,$D$209)=0,TRUE)</f>
        <v>1</v>
      </c>
      <c r="I209" s="37" t="b">
        <f>IF(ROUND('T1 NSA'!J39,$D$209)=0,ROUND('T1 NSA'!J16,$D$209)=0,TRUE)</f>
        <v>1</v>
      </c>
      <c r="J209" s="37" t="b">
        <f>IF(ROUND('T1 NSA'!K39,$D$209)=0,ROUND('T1 NSA'!K16,$D$209)=0,TRUE)</f>
        <v>1</v>
      </c>
      <c r="K209" s="37" t="b">
        <f>IF(ROUND('T1 NSA'!L39,$D$209)=0,ROUND('T1 NSA'!L16,$D$209)=0,TRUE)</f>
        <v>1</v>
      </c>
      <c r="L209" s="44"/>
      <c r="M209" s="37" t="b">
        <f>IF(ROUND('T1 NSA'!N39,$D$209)=0,ROUND('T1 NSA'!N16,$D$209)=0,TRUE)</f>
        <v>1</v>
      </c>
      <c r="N209" s="37" t="b">
        <f>IF(ROUND('T1 NSA'!O39,$D$209)=0,ROUND('T1 NSA'!O16,$D$209)=0,TRUE)</f>
        <v>1</v>
      </c>
      <c r="O209" s="37" t="b">
        <f>IF(ROUND('T1 NSA'!P39,$D$209)=0,ROUND('T1 NSA'!P16,$D$209)=0,TRUE)</f>
        <v>1</v>
      </c>
      <c r="P209" s="16"/>
      <c r="Q209" s="37" t="b">
        <f>IF(ROUND('T1 NSA'!R39,$D$209)=0,ROUND('T1 NSA'!R16,$D$209)=0,TRUE)</f>
        <v>1</v>
      </c>
    </row>
    <row r="210" spans="1:17" s="44" customFormat="1" ht="15" customHeight="1" outlineLevel="1">
      <c r="A210" s="39"/>
      <c r="B210" s="40"/>
      <c r="C210" s="41" t="s">
        <v>82</v>
      </c>
      <c r="D210" s="45"/>
      <c r="E210" s="672">
        <f>ROUND('T1 NSA'!F39,$D$209)</f>
        <v>0</v>
      </c>
      <c r="F210" s="672">
        <f>ROUND('T1 NSA'!G39,$D$209)</f>
        <v>0</v>
      </c>
      <c r="G210" s="672">
        <f>ROUND('T1 NSA'!H39,$D$209)</f>
        <v>0</v>
      </c>
      <c r="H210" s="672">
        <f>ROUND('T1 NSA'!I39,$D$209)</f>
        <v>0</v>
      </c>
      <c r="I210" s="672">
        <f>ROUND('T1 NSA'!J39,$D$209)</f>
        <v>0</v>
      </c>
      <c r="J210" s="672">
        <f>ROUND('T1 NSA'!K39,$D$209)</f>
        <v>0</v>
      </c>
      <c r="K210" s="672">
        <f>ROUND('T1 NSA'!L39,$D$209)</f>
        <v>0</v>
      </c>
      <c r="M210" s="672">
        <f>ROUND('T1 NSA'!N39,$D$209)</f>
        <v>0</v>
      </c>
      <c r="N210" s="672">
        <f>ROUND('T1 NSA'!O39,$D$209)</f>
        <v>0</v>
      </c>
      <c r="O210" s="672">
        <f>ROUND('T1 NSA'!P39,$D$209)</f>
        <v>0</v>
      </c>
      <c r="P210" s="16"/>
      <c r="Q210" s="672">
        <f>ROUND('T1 NSA'!R39,$D$209)</f>
        <v>0</v>
      </c>
    </row>
    <row r="211" spans="1:17" s="44" customFormat="1" ht="15" customHeight="1" outlineLevel="1">
      <c r="A211" s="39"/>
      <c r="B211" s="40"/>
      <c r="C211" s="41" t="s">
        <v>85</v>
      </c>
      <c r="D211" s="45"/>
      <c r="E211" s="672">
        <f>ROUND('T1 NSA'!F16,$D$209)</f>
        <v>0</v>
      </c>
      <c r="F211" s="672">
        <f>ROUND('T1 NSA'!G16,$D$209)</f>
        <v>0</v>
      </c>
      <c r="G211" s="672">
        <f>ROUND('T1 NSA'!H16,$D$209)</f>
        <v>0</v>
      </c>
      <c r="H211" s="672">
        <f>ROUND('T1 NSA'!I16,$D$209)</f>
        <v>0</v>
      </c>
      <c r="I211" s="672">
        <f>ROUND('T1 NSA'!J16,$D$209)</f>
        <v>0</v>
      </c>
      <c r="J211" s="672">
        <f>ROUND('T1 NSA'!K16,$D$209)</f>
        <v>0</v>
      </c>
      <c r="K211" s="672">
        <f>ROUND('T1 NSA'!L16,$D$209)</f>
        <v>0</v>
      </c>
      <c r="M211" s="672">
        <f>ROUND('T1 NSA'!N16,$D$209)</f>
        <v>0</v>
      </c>
      <c r="N211" s="672">
        <f>ROUND('T1 NSA'!O16,$D$209)</f>
        <v>0</v>
      </c>
      <c r="O211" s="672">
        <f>ROUND('T1 NSA'!P16,$D$209)</f>
        <v>0</v>
      </c>
      <c r="P211" s="16"/>
      <c r="Q211" s="672">
        <f>ROUND('T1 NSA'!R16,$D$209)</f>
        <v>0</v>
      </c>
    </row>
    <row r="212" spans="1:17" s="51" customFormat="1" ht="20.100000000000001" customHeight="1">
      <c r="A212" s="27" t="s">
        <v>13</v>
      </c>
      <c r="B212" s="28" t="s">
        <v>14</v>
      </c>
      <c r="C212" s="29" t="s">
        <v>698</v>
      </c>
      <c r="D212" s="49"/>
      <c r="E212" s="50"/>
      <c r="F212" s="50"/>
      <c r="G212" s="50"/>
      <c r="H212" s="50"/>
      <c r="I212" s="50"/>
      <c r="J212" s="50"/>
      <c r="K212" s="50"/>
      <c r="L212" s="50"/>
      <c r="M212" s="50"/>
      <c r="N212" s="50"/>
      <c r="O212" s="50"/>
      <c r="Q212" s="50"/>
    </row>
    <row r="213" spans="1:17" s="38" customFormat="1" ht="15" customHeight="1">
      <c r="A213" s="33" t="s">
        <v>20</v>
      </c>
      <c r="B213" s="673" t="s">
        <v>21</v>
      </c>
      <c r="C213" s="704" t="s">
        <v>86</v>
      </c>
      <c r="D213" s="675">
        <v>3</v>
      </c>
      <c r="E213" s="37" t="b">
        <f>ROUND('T1 ENBR'!F18,$D$213)=ROUND(SUM('T1 ENBR'!F12,'T1 ENBR'!F14:F17),$D$213)</f>
        <v>1</v>
      </c>
      <c r="F213" s="37" t="b">
        <f>ROUND('T1 ENBR'!G18,$D$213)=ROUND(SUM('T1 ENBR'!G12,'T1 ENBR'!G14:G17),$D$213)</f>
        <v>1</v>
      </c>
      <c r="G213" s="37" t="b">
        <f>ROUND('T1 ENBR'!H18,$D$213)=ROUND(SUM('T1 ENBR'!H12,'T1 ENBR'!H14:H17),$D$213)</f>
        <v>1</v>
      </c>
      <c r="H213" s="37" t="b">
        <f>ROUND('T1 ENBR'!I18,$D$213)=ROUND(SUM('T1 ENBR'!I12,'T1 ENBR'!I14:I17),$D$213)</f>
        <v>1</v>
      </c>
      <c r="I213" s="37" t="b">
        <f>ROUND('T1 ENBR'!J18,$D$213)=ROUND(SUM('T1 ENBR'!J12,'T1 ENBR'!J14:J17),$D$213)</f>
        <v>1</v>
      </c>
      <c r="J213" s="37" t="b">
        <f>ROUND('T1 ENBR'!K18,$D$213)=ROUND(SUM('T1 ENBR'!K12,'T1 ENBR'!K14:K17),$D$213)</f>
        <v>1</v>
      </c>
      <c r="K213" s="37" t="b">
        <f>ROUND('T1 ENBR'!L18,$D$213)=ROUND(SUM('T1 ENBR'!L12,'T1 ENBR'!L14:L17),$D$213)</f>
        <v>1</v>
      </c>
      <c r="L213" s="37" t="b">
        <f>ROUND('T1 ENBR'!M18,$D$213)=ROUND(SUM('T1 ENBR'!M12,'T1 ENBR'!M14:M17),$D$213)</f>
        <v>1</v>
      </c>
      <c r="M213" s="37" t="b">
        <f>ROUND('T1 ENBR'!N18,$D$213)=ROUND(SUM('T1 ENBR'!N12,'T1 ENBR'!N14:N17),$D$213)</f>
        <v>1</v>
      </c>
      <c r="N213" s="37" t="b">
        <f>ROUND('T1 ENBR'!O18,$D$213)=ROUND(SUM('T1 ENBR'!O12,'T1 ENBR'!O14:O17),$D$213)</f>
        <v>1</v>
      </c>
      <c r="O213" s="37" t="b">
        <f>ROUND('T1 ENBR'!P18,$D$213)=ROUND(SUM('T1 ENBR'!P12,'T1 ENBR'!P14:P17),$D$213)</f>
        <v>1</v>
      </c>
      <c r="P213" s="51"/>
      <c r="Q213" s="37" t="b">
        <f>ROUND('T1 ENBR'!R18,$D$213)=ROUND(SUM('T1 ENBR'!R12,'T1 ENBR'!R14:R17),$D$213)</f>
        <v>1</v>
      </c>
    </row>
    <row r="214" spans="1:17" s="44" customFormat="1" ht="15" customHeight="1" outlineLevel="1">
      <c r="A214" s="39"/>
      <c r="B214" s="676"/>
      <c r="C214" s="677" t="s">
        <v>23</v>
      </c>
      <c r="D214" s="678"/>
      <c r="E214" s="672">
        <f>ROUND('T1 ENBR'!F18,$D$213)</f>
        <v>98990.229000000007</v>
      </c>
      <c r="F214" s="672">
        <f>ROUND('T1 ENBR'!G18,$D$213)</f>
        <v>96610.771999999997</v>
      </c>
      <c r="G214" s="672">
        <f>ROUND('T1 ENBR'!H18,$D$213)</f>
        <v>88885.756999999998</v>
      </c>
      <c r="H214" s="672">
        <f>ROUND('T1 ENBR'!I18,$D$213)</f>
        <v>92272.623000000007</v>
      </c>
      <c r="I214" s="672">
        <f>ROUND('T1 ENBR'!J18,$D$213)</f>
        <v>96574.433000000005</v>
      </c>
      <c r="J214" s="672">
        <f>ROUND('T1 ENBR'!K18,$D$213)</f>
        <v>79653.587</v>
      </c>
      <c r="K214" s="672">
        <f>ROUND('T1 ENBR'!L18,$D$213)</f>
        <v>76642.077999999994</v>
      </c>
      <c r="L214" s="672">
        <f>ROUND('T1 ENBR'!M18,$D$213)</f>
        <v>156295.66500000001</v>
      </c>
      <c r="M214" s="672">
        <f>ROUND('T1 ENBR'!N18,$D$213)</f>
        <v>79151.554999999993</v>
      </c>
      <c r="N214" s="672">
        <f>ROUND('T1 ENBR'!O18,$D$213)</f>
        <v>80709.582999999999</v>
      </c>
      <c r="O214" s="672">
        <f>ROUND('T1 ENBR'!P18,$D$213)</f>
        <v>82990.574999999997</v>
      </c>
      <c r="P214" s="51"/>
      <c r="Q214" s="672">
        <f>ROUND('T1 ENBR'!R18,$D$213)</f>
        <v>79653.587</v>
      </c>
    </row>
    <row r="215" spans="1:17" s="44" customFormat="1" ht="15" customHeight="1" outlineLevel="1">
      <c r="A215" s="39"/>
      <c r="B215" s="676"/>
      <c r="C215" s="677" t="s">
        <v>24</v>
      </c>
      <c r="D215" s="678"/>
      <c r="E215" s="672">
        <f>ROUND(SUM('T1 ENBR'!F12,'T1 ENBR'!F14:F17),$D$213)</f>
        <v>98990.229000000007</v>
      </c>
      <c r="F215" s="672">
        <f>ROUND(SUM('T1 ENBR'!G12,'T1 ENBR'!G14:G17),$D$213)</f>
        <v>96610.771999999997</v>
      </c>
      <c r="G215" s="672">
        <f>ROUND(SUM('T1 ENBR'!H12,'T1 ENBR'!H14:H17),$D$213)</f>
        <v>88885.756999999998</v>
      </c>
      <c r="H215" s="672">
        <f>ROUND(SUM('T1 ENBR'!I12,'T1 ENBR'!I14:I17),$D$213)</f>
        <v>92272.623000000007</v>
      </c>
      <c r="I215" s="672">
        <f>ROUND(SUM('T1 ENBR'!J12,'T1 ENBR'!J14:J17),$D$213)</f>
        <v>96574.433000000005</v>
      </c>
      <c r="J215" s="672">
        <f>ROUND(SUM('T1 ENBR'!K12,'T1 ENBR'!K14:K17),$D$213)</f>
        <v>79653.587</v>
      </c>
      <c r="K215" s="672">
        <f>ROUND(SUM('T1 ENBR'!L12,'T1 ENBR'!L14:L17),$D$213)</f>
        <v>76642.077999999994</v>
      </c>
      <c r="L215" s="672">
        <f>ROUND(SUM('T1 ENBR'!M12,'T1 ENBR'!M14:M17),$D$213)</f>
        <v>156295.66500000001</v>
      </c>
      <c r="M215" s="672">
        <f>ROUND(SUM('T1 ENBR'!N12,'T1 ENBR'!N14:N17),$D$213)</f>
        <v>79151.554999999993</v>
      </c>
      <c r="N215" s="672">
        <f>ROUND(SUM('T1 ENBR'!O12,'T1 ENBR'!O14:O17),$D$213)</f>
        <v>80709.582999999999</v>
      </c>
      <c r="O215" s="672">
        <f>ROUND(SUM('T1 ENBR'!P12,'T1 ENBR'!P14:P17),$D$213)</f>
        <v>82990.574999999997</v>
      </c>
      <c r="P215" s="51"/>
      <c r="Q215" s="672">
        <f>ROUND(SUM('T1 ENBR'!R12,'T1 ENBR'!R14:R17),$D$213)</f>
        <v>79653.587</v>
      </c>
    </row>
    <row r="216" spans="1:17" s="38" customFormat="1" ht="15" customHeight="1">
      <c r="A216" s="33" t="s">
        <v>25</v>
      </c>
      <c r="B216" s="673" t="s">
        <v>26</v>
      </c>
      <c r="C216" s="704" t="s">
        <v>27</v>
      </c>
      <c r="D216" s="675">
        <v>3</v>
      </c>
      <c r="E216" s="37" t="b">
        <f>ROUND('T1 ENBR'!F31,$D$216)=ROUND(SUM('T1 ENBR'!F22:F30),$D$216)</f>
        <v>1</v>
      </c>
      <c r="F216" s="37" t="b">
        <f>ROUND('T1 ENBR'!G31,$D$216)=ROUND(SUM('T1 ENBR'!G22:G30),$D$216)</f>
        <v>1</v>
      </c>
      <c r="G216" s="37" t="b">
        <f>ROUND('T1 ENBR'!H31,$D$216)=ROUND(SUM('T1 ENBR'!H22:H30),$D$216)</f>
        <v>1</v>
      </c>
      <c r="H216" s="37" t="b">
        <f>ROUND('T1 ENBR'!I31,$D$216)=ROUND(SUM('T1 ENBR'!I22:I30),$D$216)</f>
        <v>1</v>
      </c>
      <c r="I216" s="37" t="b">
        <f>ROUND('T1 ENBR'!J31,$D$216)=ROUND(SUM('T1 ENBR'!J22:J30),$D$216)</f>
        <v>1</v>
      </c>
      <c r="J216" s="37" t="b">
        <f>ROUND('T1 ENBR'!K31,$D$216)=ROUND(SUM('T1 ENBR'!K22:K30),$D$216)</f>
        <v>1</v>
      </c>
      <c r="K216" s="37" t="b">
        <f>ROUND('T1 ENBR'!L31,$D$216)=ROUND(SUM('T1 ENBR'!L22:L30),$D$216)</f>
        <v>1</v>
      </c>
      <c r="L216" s="37" t="b">
        <f>ROUND('T1 ENBR'!M31,$D$216)=ROUND(SUM('T1 ENBR'!M22:M30),$D$216)</f>
        <v>1</v>
      </c>
      <c r="M216" s="37" t="b">
        <f>ROUND('T1 ENBR'!N31,$D$216)=ROUND(SUM('T1 ENBR'!N22:N30),$D$216)</f>
        <v>1</v>
      </c>
      <c r="N216" s="37" t="b">
        <f>ROUND('T1 ENBR'!O31,$D$216)=ROUND(SUM('T1 ENBR'!O22:O30),$D$216)</f>
        <v>1</v>
      </c>
      <c r="O216" s="37" t="b">
        <f>ROUND('T1 ENBR'!P31,$D$216)=ROUND(SUM('T1 ENBR'!P22:P30),$D$216)</f>
        <v>1</v>
      </c>
      <c r="P216" s="51"/>
      <c r="Q216" s="37" t="b">
        <f>ROUND('T1 ENBR'!R31,$D$216)=ROUND(SUM('T1 ENBR'!R22:R30),$D$216)</f>
        <v>1</v>
      </c>
    </row>
    <row r="217" spans="1:17" s="44" customFormat="1" ht="15" customHeight="1" outlineLevel="1">
      <c r="A217" s="39"/>
      <c r="B217" s="676"/>
      <c r="C217" s="677" t="s">
        <v>28</v>
      </c>
      <c r="D217" s="678"/>
      <c r="E217" s="672">
        <f>ROUND('T1 ENBR'!F31,$D$216)</f>
        <v>98990.229000000007</v>
      </c>
      <c r="F217" s="672">
        <f>ROUND('T1 ENBR'!G31,$D$216)</f>
        <v>96610.771999999997</v>
      </c>
      <c r="G217" s="672">
        <f>ROUND('T1 ENBR'!H31,$D$216)</f>
        <v>88885.756999999998</v>
      </c>
      <c r="H217" s="672">
        <f>ROUND('T1 ENBR'!I31,$D$216)</f>
        <v>92272.623000000007</v>
      </c>
      <c r="I217" s="672">
        <f>ROUND('T1 ENBR'!J31,$D$216)</f>
        <v>96574.433000000005</v>
      </c>
      <c r="J217" s="672">
        <f>ROUND('T1 ENBR'!K31,$D$216)</f>
        <v>79653.587</v>
      </c>
      <c r="K217" s="672">
        <f>ROUND('T1 ENBR'!L31,$D$216)</f>
        <v>76642.077999999994</v>
      </c>
      <c r="L217" s="672">
        <f>ROUND('T1 ENBR'!M31,$D$216)</f>
        <v>156295.66500000001</v>
      </c>
      <c r="M217" s="672">
        <f>ROUND('T1 ENBR'!N31,$D$216)</f>
        <v>79151.554999999993</v>
      </c>
      <c r="N217" s="672">
        <f>ROUND('T1 ENBR'!O31,$D$216)</f>
        <v>80709.582999999999</v>
      </c>
      <c r="O217" s="672">
        <f>ROUND('T1 ENBR'!P31,$D$216)</f>
        <v>82990.574999999997</v>
      </c>
      <c r="P217" s="51"/>
      <c r="Q217" s="672">
        <f>ROUND('T1 ENBR'!R31,$D$216)</f>
        <v>79653.587</v>
      </c>
    </row>
    <row r="218" spans="1:17" s="44" customFormat="1" ht="15" customHeight="1" outlineLevel="1">
      <c r="A218" s="39"/>
      <c r="B218" s="676"/>
      <c r="C218" s="677" t="s">
        <v>29</v>
      </c>
      <c r="D218" s="678"/>
      <c r="E218" s="672">
        <f>ROUND(SUM('T1 ENBR'!F22:F30),$D$216)</f>
        <v>98990.229000000007</v>
      </c>
      <c r="F218" s="672">
        <f>ROUND(SUM('T1 ENBR'!G22:G30),$D$216)</f>
        <v>96610.771999999997</v>
      </c>
      <c r="G218" s="672">
        <f>ROUND(SUM('T1 ENBR'!H22:H30),$D$216)</f>
        <v>88885.756999999998</v>
      </c>
      <c r="H218" s="672">
        <f>ROUND(SUM('T1 ENBR'!I22:I30),$D$216)</f>
        <v>92272.623000000007</v>
      </c>
      <c r="I218" s="672">
        <f>ROUND(SUM('T1 ENBR'!J22:J30),$D$216)</f>
        <v>96574.433000000005</v>
      </c>
      <c r="J218" s="672">
        <f>ROUND(SUM('T1 ENBR'!K22:K30),$D$216)</f>
        <v>79653.587</v>
      </c>
      <c r="K218" s="672">
        <f>ROUND(SUM('T1 ENBR'!L22:L30),$D$216)</f>
        <v>76642.077999999994</v>
      </c>
      <c r="L218" s="672">
        <f>ROUND(SUM('T1 ENBR'!M22:M30),$D$216)</f>
        <v>156295.66500000001</v>
      </c>
      <c r="M218" s="672">
        <f>ROUND(SUM('T1 ENBR'!N22:N30),$D$216)</f>
        <v>79151.554999999993</v>
      </c>
      <c r="N218" s="672">
        <f>ROUND(SUM('T1 ENBR'!O22:O30),$D$216)</f>
        <v>80709.582999999999</v>
      </c>
      <c r="O218" s="672">
        <f>ROUND(SUM('T1 ENBR'!P22:P30),$D$216)</f>
        <v>82990.574999999997</v>
      </c>
      <c r="P218" s="51"/>
      <c r="Q218" s="672">
        <f>ROUND(SUM('T1 ENBR'!R22:R30),$D$216)</f>
        <v>79653.587</v>
      </c>
    </row>
    <row r="219" spans="1:17" s="38" customFormat="1" ht="15" customHeight="1">
      <c r="A219" s="33" t="s">
        <v>30</v>
      </c>
      <c r="B219" s="673" t="s">
        <v>26</v>
      </c>
      <c r="C219" s="704" t="s">
        <v>31</v>
      </c>
      <c r="D219" s="675">
        <v>3</v>
      </c>
      <c r="E219" s="37" t="b">
        <f>ROUND('T1 ENBR'!F18,$D$219)=ROUND('T1 ENBR'!F31,$D$219)</f>
        <v>1</v>
      </c>
      <c r="F219" s="37" t="b">
        <f>ROUND('T1 ENBR'!G18,$D$219)=ROUND('T1 ENBR'!G31,$D$219)</f>
        <v>1</v>
      </c>
      <c r="G219" s="37" t="b">
        <f>ROUND('T1 ENBR'!H18,$D$219)=ROUND('T1 ENBR'!H31,$D$219)</f>
        <v>1</v>
      </c>
      <c r="H219" s="37" t="b">
        <f>ROUND('T1 ENBR'!I18,$D$219)=ROUND('T1 ENBR'!I31,$D$219)</f>
        <v>1</v>
      </c>
      <c r="I219" s="37" t="b">
        <f>ROUND('T1 ENBR'!J18,$D$219)=ROUND('T1 ENBR'!J31,$D$219)</f>
        <v>1</v>
      </c>
      <c r="J219" s="37" t="b">
        <f>ROUND('T1 ENBR'!K18,$D$219)=ROUND('T1 ENBR'!K31,$D$219)</f>
        <v>1</v>
      </c>
      <c r="K219" s="37" t="b">
        <f>ROUND('T1 ENBR'!L18,$D$219)=ROUND('T1 ENBR'!L31,$D$219)</f>
        <v>1</v>
      </c>
      <c r="L219" s="37" t="b">
        <f>ROUND('T1 ENBR'!M18,$D$219)=ROUND('T1 ENBR'!M31,$D$219)</f>
        <v>1</v>
      </c>
      <c r="M219" s="37" t="b">
        <f>ROUND('T1 ENBR'!N18,$D$219)=ROUND('T1 ENBR'!N31,$D$219)</f>
        <v>1</v>
      </c>
      <c r="N219" s="37" t="b">
        <f>ROUND('T1 ENBR'!O18,$D$219)=ROUND('T1 ENBR'!O31,$D$219)</f>
        <v>1</v>
      </c>
      <c r="O219" s="37" t="b">
        <f>ROUND('T1 ENBR'!P18,$D$219)=ROUND('T1 ENBR'!P31,$D$219)</f>
        <v>1</v>
      </c>
      <c r="P219" s="51"/>
      <c r="Q219" s="37" t="b">
        <f>ROUND('T1 ENBR'!R18,$D$219)=ROUND('T1 ENBR'!R31,$D$219)</f>
        <v>1</v>
      </c>
    </row>
    <row r="220" spans="1:17" s="44" customFormat="1" ht="15" customHeight="1" outlineLevel="1">
      <c r="A220" s="39"/>
      <c r="B220" s="676"/>
      <c r="C220" s="677" t="s">
        <v>23</v>
      </c>
      <c r="D220" s="678"/>
      <c r="E220" s="672">
        <f>ROUND('T1 ENBR'!F18,$D$219)</f>
        <v>98990.229000000007</v>
      </c>
      <c r="F220" s="672">
        <f>ROUND('T1 ENBR'!G18,$D$219)</f>
        <v>96610.771999999997</v>
      </c>
      <c r="G220" s="672">
        <f>ROUND('T1 ENBR'!H18,$D$219)</f>
        <v>88885.756999999998</v>
      </c>
      <c r="H220" s="672">
        <f>ROUND('T1 ENBR'!I18,$D$219)</f>
        <v>92272.623000000007</v>
      </c>
      <c r="I220" s="672">
        <f>ROUND('T1 ENBR'!J18,$D$219)</f>
        <v>96574.433000000005</v>
      </c>
      <c r="J220" s="672">
        <f>ROUND('T1 ENBR'!K18,$D$219)</f>
        <v>79653.587</v>
      </c>
      <c r="K220" s="672">
        <f>ROUND('T1 ENBR'!L18,$D$219)</f>
        <v>76642.077999999994</v>
      </c>
      <c r="L220" s="672">
        <f>ROUND('T1 ENBR'!M18,$D$219)</f>
        <v>156295.66500000001</v>
      </c>
      <c r="M220" s="672">
        <f>ROUND('T1 ENBR'!N18,$D$219)</f>
        <v>79151.554999999993</v>
      </c>
      <c r="N220" s="672">
        <f>ROUND('T1 ENBR'!O18,$D$219)</f>
        <v>80709.582999999999</v>
      </c>
      <c r="O220" s="672">
        <f>ROUND('T1 ENBR'!P18,$D$219)</f>
        <v>82990.574999999997</v>
      </c>
      <c r="P220" s="51"/>
      <c r="Q220" s="672">
        <f>ROUND('T1 ENBR'!R18,$D$219)</f>
        <v>79653.587</v>
      </c>
    </row>
    <row r="221" spans="1:17" s="44" customFormat="1" ht="15" customHeight="1" outlineLevel="1">
      <c r="A221" s="39"/>
      <c r="B221" s="676"/>
      <c r="C221" s="677" t="s">
        <v>28</v>
      </c>
      <c r="D221" s="678"/>
      <c r="E221" s="672">
        <f>ROUND('T1 ENBR'!F31,$D$219)</f>
        <v>98990.229000000007</v>
      </c>
      <c r="F221" s="672">
        <f>ROUND('T1 ENBR'!G31,$D$219)</f>
        <v>96610.771999999997</v>
      </c>
      <c r="G221" s="672">
        <f>ROUND('T1 ENBR'!H31,$D$219)</f>
        <v>88885.756999999998</v>
      </c>
      <c r="H221" s="672">
        <f>ROUND('T1 ENBR'!I31,$D$219)</f>
        <v>92272.623000000007</v>
      </c>
      <c r="I221" s="672">
        <f>ROUND('T1 ENBR'!J31,$D$219)</f>
        <v>96574.433000000005</v>
      </c>
      <c r="J221" s="672">
        <f>ROUND('T1 ENBR'!K31,$D$219)</f>
        <v>79653.587</v>
      </c>
      <c r="K221" s="672">
        <f>ROUND('T1 ENBR'!L31,$D$219)</f>
        <v>76642.077999999994</v>
      </c>
      <c r="L221" s="672">
        <f>ROUND('T1 ENBR'!M31,$D$219)</f>
        <v>156295.66500000001</v>
      </c>
      <c r="M221" s="672">
        <f>ROUND('T1 ENBR'!N31,$D$219)</f>
        <v>79151.554999999993</v>
      </c>
      <c r="N221" s="672">
        <f>ROUND('T1 ENBR'!O31,$D$219)</f>
        <v>80709.582999999999</v>
      </c>
      <c r="O221" s="672">
        <f>ROUND('T1 ENBR'!P31,$D$219)</f>
        <v>82990.574999999997</v>
      </c>
      <c r="P221" s="51"/>
      <c r="Q221" s="672">
        <f>ROUND('T1 ENBR'!R31,$D$219)</f>
        <v>79653.587</v>
      </c>
    </row>
    <row r="222" spans="1:17" s="38" customFormat="1" ht="15" customHeight="1">
      <c r="A222" s="33" t="s">
        <v>50</v>
      </c>
      <c r="B222" s="673" t="s">
        <v>51</v>
      </c>
      <c r="C222" s="704" t="s">
        <v>52</v>
      </c>
      <c r="D222" s="675">
        <v>3</v>
      </c>
      <c r="E222" s="37" t="b">
        <f>ROUND(('T1 ENBR'!F61-'T1 ENBR'!F29-'T1 ENBR'!F30-'T1 ENBR'!F15-'T1 ENBR'!F16+'T1 ENBR'!F79+'T1 ENBR'!F80)/('T1 ENBR'!F65/100)+'T1 ENBR'!F29+'T1 ENBR'!F30+'T1 ENBR'!F15+'T1 ENBR'!F16-'T1 ENBR'!F79-'T1 ENBR'!F80,$D$222)=ROUND('T1 ENBR'!F66,$D$222)</f>
        <v>1</v>
      </c>
      <c r="F222" s="37" t="b">
        <f>ROUND(('T1 ENBR'!G61-'T1 ENBR'!G29-'T1 ENBR'!G30-'T1 ENBR'!G15-'T1 ENBR'!G16+'T1 ENBR'!G79+'T1 ENBR'!G80)/('T1 ENBR'!G65/100)+'T1 ENBR'!G29+'T1 ENBR'!G30+'T1 ENBR'!G15+'T1 ENBR'!G16-'T1 ENBR'!G79-'T1 ENBR'!G80,$D$222)=ROUND('T1 ENBR'!G66,$D$222)</f>
        <v>1</v>
      </c>
      <c r="G222" s="37" t="b">
        <f>ROUND(('T1 ENBR'!H61-'T1 ENBR'!H29-'T1 ENBR'!H30-'T1 ENBR'!H15-'T1 ENBR'!H16+'T1 ENBR'!H79+'T1 ENBR'!H80)/('T1 ENBR'!H65/100)+'T1 ENBR'!H29+'T1 ENBR'!H30+'T1 ENBR'!H15+'T1 ENBR'!H16-'T1 ENBR'!H79-'T1 ENBR'!H80,$D$222)=ROUND('T1 ENBR'!H66,$D$222)</f>
        <v>1</v>
      </c>
      <c r="H222" s="37" t="b">
        <f>ROUND(('T1 ENBR'!I61-'T1 ENBR'!I29-'T1 ENBR'!I30-'T1 ENBR'!I15-'T1 ENBR'!I16+'T1 ENBR'!I79+'T1 ENBR'!I80)/('T1 ENBR'!I65/100)+'T1 ENBR'!I29+'T1 ENBR'!I30+'T1 ENBR'!I15+'T1 ENBR'!I16-'T1 ENBR'!I79-'T1 ENBR'!I80,$D$222)=ROUND('T1 ENBR'!I66,$D$222)</f>
        <v>1</v>
      </c>
      <c r="I222" s="37" t="b">
        <f>ROUND(('T1 ENBR'!J61-'T1 ENBR'!J29-'T1 ENBR'!J30-'T1 ENBR'!J15-'T1 ENBR'!J16+'T1 ENBR'!J79+'T1 ENBR'!J80)/('T1 ENBR'!J65/100)+'T1 ENBR'!J29+'T1 ENBR'!J30+'T1 ENBR'!J15+'T1 ENBR'!J16-'T1 ENBR'!J79-'T1 ENBR'!J80,$D$222)=ROUND('T1 ENBR'!J66,$D$222)</f>
        <v>1</v>
      </c>
      <c r="J222" s="37" t="b">
        <f>ROUND(('T1 ENBR'!K61-'T1 ENBR'!K29-'T1 ENBR'!K30-'T1 ENBR'!K15-'T1 ENBR'!K16+'T1 ENBR'!K79+'T1 ENBR'!K80)/('T1 ENBR'!K65/100)+'T1 ENBR'!K29+'T1 ENBR'!K30+'T1 ENBR'!K15+'T1 ENBR'!K16-'T1 ENBR'!K79-'T1 ENBR'!K80,$D$222)=ROUND('T1 ENBR'!K66,$D$222)</f>
        <v>1</v>
      </c>
      <c r="K222" s="37" t="b">
        <f>ROUND(('T1 ENBR'!L61-'T1 ENBR'!L29-'T1 ENBR'!L30-'T1 ENBR'!L15-'T1 ENBR'!L16+'T1 ENBR'!L79+'T1 ENBR'!L80)/('T1 ENBR'!L65/100)+'T1 ENBR'!L29+'T1 ENBR'!L30+'T1 ENBR'!L15+'T1 ENBR'!L16-'T1 ENBR'!L79-'T1 ENBR'!L80,$D$222)=ROUND('T1 ENBR'!L66,$D$222)</f>
        <v>1</v>
      </c>
      <c r="L222" s="37" t="b">
        <f>ROUND('T1 ENBR'!K66+'T1 ENBR'!L66,$D$222)=ROUND('T1 ENBR'!M66,$D$222)</f>
        <v>1</v>
      </c>
      <c r="M222" s="37" t="b">
        <f>ROUND(('T1 ENBR'!N61-'T1 ENBR'!N29-'T1 ENBR'!N30-'T1 ENBR'!N15-'T1 ENBR'!N16+'T1 ENBR'!N79+'T1 ENBR'!N80)/('T1 ENBR'!N65/100)+'T1 ENBR'!N29+'T1 ENBR'!N30+'T1 ENBR'!N15+'T1 ENBR'!N16-'T1 ENBR'!N79-'T1 ENBR'!N80,$D$222)=ROUND('T1 ENBR'!N66,$D$222)</f>
        <v>1</v>
      </c>
      <c r="N222" s="37" t="b">
        <f>ROUND(('T1 ENBR'!O61-'T1 ENBR'!O29-'T1 ENBR'!O30-'T1 ENBR'!O15-'T1 ENBR'!O16+'T1 ENBR'!O79+'T1 ENBR'!O80)/('T1 ENBR'!O65/100)+'T1 ENBR'!O29+'T1 ENBR'!O30+'T1 ENBR'!O15+'T1 ENBR'!O16-'T1 ENBR'!O79-'T1 ENBR'!O80,$D$222)=ROUND('T1 ENBR'!O66,$D$222)</f>
        <v>1</v>
      </c>
      <c r="O222" s="37" t="b">
        <f>ROUND(('T1 ENBR'!P61-'T1 ENBR'!P29-'T1 ENBR'!P30-'T1 ENBR'!P15-'T1 ENBR'!P16+'T1 ENBR'!P79+'T1 ENBR'!P80)/('T1 ENBR'!P65/100)+'T1 ENBR'!P29+'T1 ENBR'!P30+'T1 ENBR'!P15+'T1 ENBR'!P16-'T1 ENBR'!P79-'T1 ENBR'!P80,$D$222)=ROUND('T1 ENBR'!P66,$D$222)</f>
        <v>1</v>
      </c>
      <c r="P222" s="51"/>
      <c r="Q222" s="37" t="b">
        <f>ROUND(('T1 ENBR'!R61-'T1 ENBR'!R29-'T1 ENBR'!R30-'T1 ENBR'!R15-'T1 ENBR'!R16+'T1 ENBR'!R79+'T1 ENBR'!R80)/('T1 ENBR'!R65/100)+'T1 ENBR'!R29+'T1 ENBR'!R30+'T1 ENBR'!R15+'T1 ENBR'!R16-'T1 ENBR'!R79-'T1 ENBR'!R80,$D$222)=ROUND('T1 ENBR'!R66,$D$222)</f>
        <v>1</v>
      </c>
    </row>
    <row r="223" spans="1:17" s="44" customFormat="1" ht="15" customHeight="1" outlineLevel="1">
      <c r="A223" s="39"/>
      <c r="B223" s="676"/>
      <c r="C223" s="677" t="s">
        <v>53</v>
      </c>
      <c r="D223" s="678"/>
      <c r="E223" s="672">
        <f>ROUND(('T1 ENBR'!F61-'T1 ENBR'!F29-'T1 ENBR'!F30-'T1 ENBR'!F15-'T1 ENBR'!F16+'T1 ENBR'!F79+'T1 ENBR'!F80)/('T1 ENBR'!F65/100)+'T1 ENBR'!F29+'T1 ENBR'!F30+'T1 ENBR'!F15+'T1 ENBR'!F16-'T1 ENBR'!F79-'T1 ENBR'!F80,$D$222)</f>
        <v>104388.91099999999</v>
      </c>
      <c r="F223" s="672">
        <f>ROUND(('T1 ENBR'!G61-'T1 ENBR'!G29-'T1 ENBR'!G30-'T1 ENBR'!G15-'T1 ENBR'!G16+'T1 ENBR'!G79+'T1 ENBR'!G80)/('T1 ENBR'!G65/100)+'T1 ENBR'!G29+'T1 ENBR'!G30+'T1 ENBR'!G15+'T1 ENBR'!G16-'T1 ENBR'!G79-'T1 ENBR'!G80,$D$222)</f>
        <v>98031.623999999996</v>
      </c>
      <c r="G223" s="672">
        <f>ROUND(('T1 ENBR'!H61-'T1 ENBR'!H29-'T1 ENBR'!H30-'T1 ENBR'!H15-'T1 ENBR'!H16+'T1 ENBR'!H79+'T1 ENBR'!H80)/('T1 ENBR'!H65/100)+'T1 ENBR'!H29+'T1 ENBR'!H30+'T1 ENBR'!H15+'T1 ENBR'!H16-'T1 ENBR'!H79-'T1 ENBR'!H80,$D$222)</f>
        <v>88663.16</v>
      </c>
      <c r="H223" s="672">
        <f>ROUND(('T1 ENBR'!I61-'T1 ENBR'!I29-'T1 ENBR'!I30-'T1 ENBR'!I15-'T1 ENBR'!I16+'T1 ENBR'!I79+'T1 ENBR'!I80)/('T1 ENBR'!I65/100)+'T1 ENBR'!I29+'T1 ENBR'!I30+'T1 ENBR'!I15+'T1 ENBR'!I16-'T1 ENBR'!I79-'T1 ENBR'!I80,$D$222)</f>
        <v>89619.354999999996</v>
      </c>
      <c r="I223" s="672">
        <f>ROUND(('T1 ENBR'!J61-'T1 ENBR'!J29-'T1 ENBR'!J30-'T1 ENBR'!J15-'T1 ENBR'!J16+'T1 ENBR'!J79+'T1 ENBR'!J80)/('T1 ENBR'!J65/100)+'T1 ENBR'!J29+'T1 ENBR'!J30+'T1 ENBR'!J15+'T1 ENBR'!J16-'T1 ENBR'!J79-'T1 ENBR'!J80,$D$222)</f>
        <v>91779.665999999997</v>
      </c>
      <c r="J223" s="672">
        <f>ROUND(('T1 ENBR'!K61-'T1 ENBR'!K29-'T1 ENBR'!K30-'T1 ENBR'!K15-'T1 ENBR'!K16+'T1 ENBR'!K79+'T1 ENBR'!K80)/('T1 ENBR'!K65/100)+'T1 ENBR'!K29+'T1 ENBR'!K30+'T1 ENBR'!K15+'T1 ENBR'!K16-'T1 ENBR'!K79-'T1 ENBR'!K80,$D$222)</f>
        <v>75016.067999999999</v>
      </c>
      <c r="K223" s="672">
        <f>ROUND(('T1 ENBR'!L61-'T1 ENBR'!L29-'T1 ENBR'!L30-'T1 ENBR'!L15-'T1 ENBR'!L16+'T1 ENBR'!L79+'T1 ENBR'!L80)/('T1 ENBR'!L65/100)+'T1 ENBR'!L29+'T1 ENBR'!L30+'T1 ENBR'!L15+'T1 ENBR'!L16-'T1 ENBR'!L79-'T1 ENBR'!L80,$D$222)</f>
        <v>70925.634999999995</v>
      </c>
      <c r="L223" s="672">
        <f>ROUND('T1 ENBR'!K66+'T1 ENBR'!L66,$D$222)</f>
        <v>145941.70300000001</v>
      </c>
      <c r="M223" s="672">
        <f>ROUND(('T1 ENBR'!N61-'T1 ENBR'!N29-'T1 ENBR'!N30-'T1 ENBR'!N15-'T1 ENBR'!N16+'T1 ENBR'!N79+'T1 ENBR'!N80)/('T1 ENBR'!N65/100)+'T1 ENBR'!N29+'T1 ENBR'!N30+'T1 ENBR'!N15+'T1 ENBR'!N16-'T1 ENBR'!N79-'T1 ENBR'!N80,$D$222)</f>
        <v>72109.971000000005</v>
      </c>
      <c r="N223" s="672">
        <f>ROUND(('T1 ENBR'!O61-'T1 ENBR'!O29-'T1 ENBR'!O30-'T1 ENBR'!O15-'T1 ENBR'!O16+'T1 ENBR'!O79+'T1 ENBR'!O80)/('T1 ENBR'!O65/100)+'T1 ENBR'!O29+'T1 ENBR'!O30+'T1 ENBR'!O15+'T1 ENBR'!O16-'T1 ENBR'!O79-'T1 ENBR'!O80,$D$222)</f>
        <v>72374.349000000002</v>
      </c>
      <c r="O223" s="672">
        <f>ROUND(('T1 ENBR'!P61-'T1 ENBR'!P29-'T1 ENBR'!P30-'T1 ENBR'!P15-'T1 ENBR'!P16+'T1 ENBR'!P79+'T1 ENBR'!P80)/('T1 ENBR'!P65/100)+'T1 ENBR'!P29+'T1 ENBR'!P30+'T1 ENBR'!P15+'T1 ENBR'!P16-'T1 ENBR'!P79-'T1 ENBR'!P80,$D$222)</f>
        <v>73157.501000000004</v>
      </c>
      <c r="P223" s="51"/>
      <c r="Q223" s="672">
        <f>ROUND(('T1 ENBR'!R61-'T1 ENBR'!R29-'T1 ENBR'!R30-'T1 ENBR'!R15-'T1 ENBR'!R16+'T1 ENBR'!R79+'T1 ENBR'!R80)/('T1 ENBR'!R65/100)+'T1 ENBR'!R29+'T1 ENBR'!R30+'T1 ENBR'!R15+'T1 ENBR'!R16-'T1 ENBR'!R79-'T1 ENBR'!R80,$D$222)</f>
        <v>75016.067999999999</v>
      </c>
    </row>
    <row r="224" spans="1:17" s="44" customFormat="1" ht="15" customHeight="1" outlineLevel="1">
      <c r="A224" s="39"/>
      <c r="B224" s="676"/>
      <c r="C224" s="677" t="s">
        <v>54</v>
      </c>
      <c r="D224" s="678"/>
      <c r="E224" s="672">
        <f>ROUND('T1 ENBR'!F66,$D$222)</f>
        <v>104388.91099999999</v>
      </c>
      <c r="F224" s="672">
        <f>ROUND('T1 ENBR'!G66,$D$222)</f>
        <v>98031.623999999996</v>
      </c>
      <c r="G224" s="672">
        <f>ROUND('T1 ENBR'!H66,$D$222)</f>
        <v>88663.16</v>
      </c>
      <c r="H224" s="672">
        <f>ROUND('T1 ENBR'!I66,$D$222)</f>
        <v>89619.354999999996</v>
      </c>
      <c r="I224" s="672">
        <f>ROUND('T1 ENBR'!J66,$D$222)</f>
        <v>91779.665999999997</v>
      </c>
      <c r="J224" s="672">
        <f>ROUND('T1 ENBR'!K66,$D$222)</f>
        <v>75016.067999999999</v>
      </c>
      <c r="K224" s="672">
        <f>ROUND('T1 ENBR'!L66,$D$222)</f>
        <v>70925.634999999995</v>
      </c>
      <c r="L224" s="672">
        <f>ROUND('T1 ENBR'!M66,$D$222)</f>
        <v>145941.70300000001</v>
      </c>
      <c r="M224" s="672">
        <f>ROUND('T1 ENBR'!N66,$D$222)</f>
        <v>72109.971000000005</v>
      </c>
      <c r="N224" s="672">
        <f>ROUND('T1 ENBR'!O66,$D$222)</f>
        <v>72374.349000000002</v>
      </c>
      <c r="O224" s="672">
        <f>ROUND('T1 ENBR'!P66,$D$222)</f>
        <v>73157.501000000004</v>
      </c>
      <c r="P224" s="51"/>
      <c r="Q224" s="672">
        <f>ROUND('T1 ENBR'!R66,$D$222)</f>
        <v>75016.067999999999</v>
      </c>
    </row>
    <row r="225" spans="1:17" s="38" customFormat="1" ht="15" customHeight="1">
      <c r="A225" s="33" t="s">
        <v>672</v>
      </c>
      <c r="B225" s="673" t="s">
        <v>51</v>
      </c>
      <c r="C225" s="35" t="s">
        <v>673</v>
      </c>
      <c r="D225" s="675">
        <v>3</v>
      </c>
      <c r="E225" s="1162" t="b">
        <f>IF(ROUND('T1 NSA'!F15+'T1 NSA'!F16,$D$225)&gt;0,ROUND('T1 ENBR'!F79+'T1 ENBR'!F80,$D$225)&gt;0,ROUND('T1 ENBR'!F79+'T1 ENBR'!F80,$D$225)=0)</f>
        <v>1</v>
      </c>
      <c r="F225" s="1162" t="b">
        <f>IF(ROUND('T1 NSA'!G15+'T1 NSA'!G16,$D$225)&gt;0,ROUND('T1 ENBR'!G79+'T1 ENBR'!G80,$D$225)&gt;0,ROUND('T1 ENBR'!G79+'T1 ENBR'!G80,$D$225)=0)</f>
        <v>1</v>
      </c>
      <c r="G225" s="1162" t="b">
        <f>IF(ROUND('T1 NSA'!H15+'T1 NSA'!H16,$D$225)&gt;0,ROUND('T1 ENBR'!H79+'T1 ENBR'!H80,$D$225)&gt;0,ROUND('T1 ENBR'!H79+'T1 ENBR'!H80,$D$225)=0)</f>
        <v>1</v>
      </c>
      <c r="H225" s="1162" t="b">
        <f>IF(ROUND('T1 NSA'!I15+'T1 NSA'!I16,$D$225)&gt;0,ROUND('T1 ENBR'!I79+'T1 ENBR'!I80,$D$225)&gt;0,ROUND('T1 ENBR'!I79+'T1 ENBR'!I80,$D$225)=0)</f>
        <v>1</v>
      </c>
      <c r="I225" s="1162" t="b">
        <f>IF(ROUND('T1 NSA'!J15+'T1 NSA'!J16,$D$225)&gt;0,ROUND('T1 ENBR'!J79+'T1 ENBR'!J80,$D$225)&gt;0,ROUND('T1 ENBR'!J79+'T1 ENBR'!J80,$D$225)=0)</f>
        <v>1</v>
      </c>
      <c r="J225" s="1162" t="b">
        <f>IF(ROUND('T1 NSA'!K15+'T1 NSA'!K16,$D$225)&gt;0,ROUND('T1 ENBR'!K79+'T1 ENBR'!K80,$D$225)&gt;0,ROUND('T1 ENBR'!K79+'T1 ENBR'!K80,$D$225)=0)</f>
        <v>1</v>
      </c>
      <c r="K225" s="1162" t="b">
        <f>IF(ROUND('T1 NSA'!L15+'T1 NSA'!L16,$D$225)&gt;0,ROUND('T1 ENBR'!L79+'T1 ENBR'!L80,$D$225)&gt;0,ROUND('T1 ENBR'!L79+'T1 ENBR'!L80,$D$225)=0)</f>
        <v>1</v>
      </c>
      <c r="L225" s="1162" t="b">
        <f>IF(ROUND('T1 NSA'!M15+'T1 NSA'!M16,$D$225)&gt;0,ROUND('T1 ENBR'!M79+'T1 ENBR'!M80,$D$225)&gt;0,ROUND('T1 ENBR'!M79+'T1 ENBR'!M80,$D$225)=0)</f>
        <v>1</v>
      </c>
      <c r="M225" s="1162" t="b">
        <f>IF(ROUND('T1 NSA'!N15+'T1 NSA'!N16,$D$225)&gt;0,ROUND('T1 ENBR'!N79+'T1 ENBR'!N80,$D$225)&gt;0,ROUND('T1 ENBR'!N79+'T1 ENBR'!N80,$D$225)=0)</f>
        <v>1</v>
      </c>
      <c r="N225" s="1162" t="b">
        <f>IF(ROUND('T1 NSA'!O15+'T1 NSA'!O16,$D$225)&gt;0,ROUND('T1 ENBR'!O79+'T1 ENBR'!O80,$D$225)&gt;0,ROUND('T1 ENBR'!O79+'T1 ENBR'!O80,$D$225)=0)</f>
        <v>1</v>
      </c>
      <c r="O225" s="1162" t="b">
        <f>IF(ROUND('T1 NSA'!P15+'T1 NSA'!P16,$D$225)&gt;0,ROUND('T1 ENBR'!P79+'T1 ENBR'!P80,$D$225)&gt;0,ROUND('T1 ENBR'!P79+'T1 ENBR'!P80,$D$225)=0)</f>
        <v>1</v>
      </c>
      <c r="P225" s="51"/>
      <c r="Q225" s="1162" t="b">
        <f>IF(ROUND('T1 NSA'!R15+'T1 NSA'!R16,$D$225)&gt;0,ROUND('T1 ENBR'!R79+'T1 ENBR'!R80,$D$225)&gt;0,ROUND('T1 ENBR'!R79+'T1 ENBR'!R80,$D$225)=0)</f>
        <v>1</v>
      </c>
    </row>
    <row r="226" spans="1:17" s="44" customFormat="1" ht="15" customHeight="1" outlineLevel="1">
      <c r="A226" s="39"/>
      <c r="B226" s="676"/>
      <c r="C226" s="41" t="s">
        <v>675</v>
      </c>
      <c r="D226" s="678"/>
      <c r="E226" s="672">
        <f>ROUND('T1 NSA'!F15+'T1 NSA'!F16,$D$225)</f>
        <v>0</v>
      </c>
      <c r="F226" s="672">
        <f>ROUND('T1 NSA'!G15+'T1 NSA'!G16,$D$225)</f>
        <v>0</v>
      </c>
      <c r="G226" s="672">
        <f>ROUND('T1 NSA'!H15+'T1 NSA'!H16,$D$225)</f>
        <v>0</v>
      </c>
      <c r="H226" s="672">
        <f>ROUND('T1 NSA'!I15+'T1 NSA'!I16,$D$225)</f>
        <v>0</v>
      </c>
      <c r="I226" s="672">
        <f>ROUND('T1 NSA'!J15+'T1 NSA'!J16,$D$225)</f>
        <v>0</v>
      </c>
      <c r="J226" s="672">
        <f>ROUND('T1 NSA'!K15+'T1 NSA'!K16,$D$225)</f>
        <v>0</v>
      </c>
      <c r="K226" s="672">
        <f>ROUND('T1 NSA'!L15+'T1 NSA'!L16,$D$225)</f>
        <v>0</v>
      </c>
      <c r="L226" s="672">
        <f>ROUND('T1 NSA'!M15+'T1 NSA'!M16,$D$225)</f>
        <v>0</v>
      </c>
      <c r="M226" s="672">
        <f>ROUND('T1 NSA'!N15+'T1 NSA'!N16,$D$225)</f>
        <v>0</v>
      </c>
      <c r="N226" s="672">
        <f>ROUND('T1 NSA'!O15+'T1 NSA'!O16,$D$225)</f>
        <v>0</v>
      </c>
      <c r="O226" s="672">
        <f>ROUND('T1 NSA'!P15+'T1 NSA'!P16,$D$225)</f>
        <v>0</v>
      </c>
      <c r="P226" s="51"/>
      <c r="Q226" s="672">
        <f>ROUND('T1 NSA'!R15+'T1 NSA'!R16,$D$225)</f>
        <v>0</v>
      </c>
    </row>
    <row r="227" spans="1:17" s="44" customFormat="1" ht="15" customHeight="1" outlineLevel="1">
      <c r="A227" s="39"/>
      <c r="B227" s="676"/>
      <c r="C227" s="41" t="s">
        <v>676</v>
      </c>
      <c r="D227" s="678"/>
      <c r="E227" s="672">
        <f>ROUND('T1 ENBR'!F79+'T1 ENBR'!F80,$D$225)</f>
        <v>0</v>
      </c>
      <c r="F227" s="672">
        <f>ROUND('T1 ENBR'!G79+'T1 ENBR'!G80,$D$225)</f>
        <v>0</v>
      </c>
      <c r="G227" s="672">
        <f>ROUND('T1 ENBR'!H79+'T1 ENBR'!H80,$D$225)</f>
        <v>0</v>
      </c>
      <c r="H227" s="672">
        <f>ROUND('T1 ENBR'!I79+'T1 ENBR'!I80,$D$225)</f>
        <v>0</v>
      </c>
      <c r="I227" s="672">
        <f>ROUND('T1 ENBR'!J79+'T1 ENBR'!J80,$D$225)</f>
        <v>0</v>
      </c>
      <c r="J227" s="672">
        <f>ROUND('T1 ENBR'!K79+'T1 ENBR'!K80,$D$225)</f>
        <v>0</v>
      </c>
      <c r="K227" s="672">
        <f>ROUND('T1 ENBR'!L79+'T1 ENBR'!L80,$D$225)</f>
        <v>0</v>
      </c>
      <c r="L227" s="672">
        <f>ROUND('T1 ENBR'!M79+'T1 ENBR'!M80,$D$225)</f>
        <v>0</v>
      </c>
      <c r="M227" s="672">
        <f>ROUND('T1 ENBR'!N79+'T1 ENBR'!N80,$D$225)</f>
        <v>0</v>
      </c>
      <c r="N227" s="672">
        <f>ROUND('T1 ENBR'!O79+'T1 ENBR'!O80,$D$225)</f>
        <v>0</v>
      </c>
      <c r="O227" s="672">
        <f>ROUND('T1 ENBR'!P79+'T1 ENBR'!P80,$D$225)</f>
        <v>0</v>
      </c>
      <c r="P227" s="51"/>
      <c r="Q227" s="672">
        <f>ROUND('T1 ENBR'!R79+'T1 ENBR'!R80,$D$225)</f>
        <v>0</v>
      </c>
    </row>
    <row r="228" spans="1:17" s="38" customFormat="1" ht="15" customHeight="1">
      <c r="A228" s="33" t="s">
        <v>60</v>
      </c>
      <c r="B228" s="673" t="s">
        <v>33</v>
      </c>
      <c r="C228" s="704" t="s">
        <v>643</v>
      </c>
      <c r="D228" s="678"/>
      <c r="E228" s="1087" t="b">
        <f>'T1 ENBR'!F64='T1'!F64</f>
        <v>1</v>
      </c>
      <c r="F228" s="1087" t="b">
        <f>'T1 ENBR'!G64='T1'!G64</f>
        <v>1</v>
      </c>
      <c r="G228" s="1087" t="b">
        <f>'T1 ENBR'!H64='T1'!H64</f>
        <v>1</v>
      </c>
      <c r="H228" s="1087" t="b">
        <f>'T1 ENBR'!I64='T1'!I64</f>
        <v>1</v>
      </c>
      <c r="I228" s="1087" t="b">
        <f>'T1 ENBR'!J64='T1'!J64</f>
        <v>1</v>
      </c>
      <c r="J228" s="1087" t="b">
        <f>'T1 ENBR'!K64='T1'!K64</f>
        <v>1</v>
      </c>
      <c r="K228" s="1087" t="b">
        <f>'T1 ENBR'!L64='T1'!L64</f>
        <v>1</v>
      </c>
      <c r="L228" s="32"/>
      <c r="M228" s="1087" t="b">
        <f>'T1 ENBR'!N64='T1'!N64</f>
        <v>1</v>
      </c>
      <c r="N228" s="1087" t="b">
        <f>'T1 ENBR'!O64='T1'!O64</f>
        <v>1</v>
      </c>
      <c r="O228" s="1087" t="b">
        <f>'T1 ENBR'!P64='T1'!P64</f>
        <v>1</v>
      </c>
      <c r="P228" s="51"/>
      <c r="Q228" s="1087" t="b">
        <f>'T1 ENBR'!R64='T1'!R64</f>
        <v>1</v>
      </c>
    </row>
    <row r="229" spans="1:17" s="44" customFormat="1" ht="15" customHeight="1" outlineLevel="1">
      <c r="A229" s="39"/>
      <c r="B229" s="676"/>
      <c r="C229" s="677" t="s">
        <v>699</v>
      </c>
      <c r="D229" s="678"/>
      <c r="E229" s="1088">
        <f>'T1 ENBR'!F64</f>
        <v>0.02</v>
      </c>
      <c r="F229" s="1088">
        <f>'T1 ENBR'!G64</f>
        <v>3.9E-2</v>
      </c>
      <c r="G229" s="1088">
        <f>'T1 ENBR'!H64</f>
        <v>1.9E-2</v>
      </c>
      <c r="H229" s="1088">
        <f>'T1 ENBR'!I64</f>
        <v>0.03</v>
      </c>
      <c r="I229" s="1088">
        <f>'T1 ENBR'!J64</f>
        <v>2.3E-2</v>
      </c>
      <c r="J229" s="1088">
        <f>'T1 ENBR'!K64</f>
        <v>1.2E-2</v>
      </c>
      <c r="K229" s="1088">
        <f>'T1 ENBR'!L64</f>
        <v>2.1999999999999999E-2</v>
      </c>
      <c r="L229" s="32"/>
      <c r="M229" s="1088">
        <f>'T1 ENBR'!N64</f>
        <v>0.02</v>
      </c>
      <c r="N229" s="1088">
        <f>'T1 ENBR'!O64</f>
        <v>0.02</v>
      </c>
      <c r="O229" s="1088">
        <f>'T1 ENBR'!P64</f>
        <v>0.02</v>
      </c>
      <c r="P229" s="51"/>
      <c r="Q229" s="1088">
        <f>'T1 ENBR'!R64</f>
        <v>1.2E-2</v>
      </c>
    </row>
    <row r="230" spans="1:17" s="44" customFormat="1" ht="15" customHeight="1" outlineLevel="1">
      <c r="A230" s="39"/>
      <c r="B230" s="676"/>
      <c r="C230" s="677" t="s">
        <v>63</v>
      </c>
      <c r="D230" s="678"/>
      <c r="E230" s="47">
        <f>'T1'!F64</f>
        <v>0.02</v>
      </c>
      <c r="F230" s="47">
        <f>'T1'!G64</f>
        <v>3.9E-2</v>
      </c>
      <c r="G230" s="47">
        <f>'T1'!H64</f>
        <v>1.9E-2</v>
      </c>
      <c r="H230" s="47">
        <f>'T1'!I64</f>
        <v>0.03</v>
      </c>
      <c r="I230" s="47">
        <f>'T1'!J64</f>
        <v>2.3E-2</v>
      </c>
      <c r="J230" s="47">
        <f>'T1'!K64</f>
        <v>1.2E-2</v>
      </c>
      <c r="K230" s="47">
        <f>'T1'!L64</f>
        <v>2.1999999999999999E-2</v>
      </c>
      <c r="L230" s="32"/>
      <c r="M230" s="47">
        <f>'T1'!N64</f>
        <v>0.02</v>
      </c>
      <c r="N230" s="47">
        <f>'T1'!O64</f>
        <v>0.02</v>
      </c>
      <c r="O230" s="47">
        <f>'T1'!P64</f>
        <v>0.02</v>
      </c>
      <c r="P230" s="51"/>
      <c r="Q230" s="47">
        <f>'T1'!R64</f>
        <v>1.2E-2</v>
      </c>
    </row>
    <row r="231" spans="1:17" s="38" customFormat="1" ht="15" customHeight="1">
      <c r="A231" s="1089" t="s">
        <v>64</v>
      </c>
      <c r="B231" s="673" t="s">
        <v>37</v>
      </c>
      <c r="C231" s="704" t="s">
        <v>644</v>
      </c>
      <c r="D231" s="678"/>
      <c r="E231" s="1087" t="b">
        <f>'T1 ENBR'!F65='T1'!F65</f>
        <v>1</v>
      </c>
      <c r="F231" s="1087" t="b">
        <f>'T1 ENBR'!G65='T1'!G65</f>
        <v>1</v>
      </c>
      <c r="G231" s="1087" t="b">
        <f>'T1 ENBR'!H65='T1'!H65</f>
        <v>1</v>
      </c>
      <c r="H231" s="1087" t="b">
        <f>'T1 ENBR'!I65='T1'!I65</f>
        <v>1</v>
      </c>
      <c r="I231" s="1087" t="b">
        <f>'T1 ENBR'!J65='T1'!J65</f>
        <v>1</v>
      </c>
      <c r="J231" s="1087" t="b">
        <f>'T1 ENBR'!K65='T1'!K65</f>
        <v>1</v>
      </c>
      <c r="K231" s="1087" t="b">
        <f>'T1 ENBR'!L65='T1'!L65</f>
        <v>1</v>
      </c>
      <c r="L231" s="32"/>
      <c r="M231" s="1087" t="b">
        <f>'T1 ENBR'!N65='T1'!N65</f>
        <v>1</v>
      </c>
      <c r="N231" s="1087" t="b">
        <f>'T1 ENBR'!O65='T1'!O65</f>
        <v>1</v>
      </c>
      <c r="O231" s="1087" t="b">
        <f>'T1 ENBR'!P65='T1'!P65</f>
        <v>1</v>
      </c>
      <c r="P231" s="51"/>
      <c r="Q231" s="1087" t="b">
        <f>'T1 ENBR'!R65='T1'!R65</f>
        <v>1</v>
      </c>
    </row>
    <row r="232" spans="1:17" s="44" customFormat="1" ht="15" customHeight="1" outlineLevel="1">
      <c r="A232" s="39"/>
      <c r="B232" s="676"/>
      <c r="C232" s="677" t="s">
        <v>700</v>
      </c>
      <c r="D232" s="678"/>
      <c r="E232" s="1090">
        <f>'T1 ENBR'!F65</f>
        <v>94.45180643802405</v>
      </c>
      <c r="F232" s="1090">
        <f>'T1 ENBR'!G65</f>
        <v>98.135426889106981</v>
      </c>
      <c r="G232" s="1090">
        <f>'T1 ENBR'!H65</f>
        <v>100</v>
      </c>
      <c r="H232" s="1090">
        <f>'T1 ENBR'!I65</f>
        <v>103</v>
      </c>
      <c r="I232" s="1090">
        <f>'T1 ENBR'!J65</f>
        <v>105.36899999999999</v>
      </c>
      <c r="J232" s="1090">
        <f>'T1 ENBR'!K65</f>
        <v>106.63342799999998</v>
      </c>
      <c r="K232" s="1090">
        <f>'T1 ENBR'!L65</f>
        <v>108.97936341599998</v>
      </c>
      <c r="L232" s="32"/>
      <c r="M232" s="1090">
        <f>'T1 ENBR'!N65</f>
        <v>111.15895068431999</v>
      </c>
      <c r="N232" s="1090">
        <f>'T1 ENBR'!O65</f>
        <v>113.38212969800639</v>
      </c>
      <c r="O232" s="1090">
        <f>'T1 ENBR'!P65</f>
        <v>115.64977229196653</v>
      </c>
      <c r="P232" s="51"/>
      <c r="Q232" s="1090">
        <f>'T1 ENBR'!R65</f>
        <v>106.63342799999998</v>
      </c>
    </row>
    <row r="233" spans="1:17" s="44" customFormat="1" ht="15" customHeight="1" outlineLevel="1">
      <c r="A233" s="39"/>
      <c r="B233" s="676"/>
      <c r="C233" s="677" t="s">
        <v>645</v>
      </c>
      <c r="D233" s="678"/>
      <c r="E233" s="1090">
        <f>'T1'!F65</f>
        <v>94.45180643802405</v>
      </c>
      <c r="F233" s="1090">
        <f>'T1'!G65</f>
        <v>98.135426889106981</v>
      </c>
      <c r="G233" s="1090">
        <f>'T1'!H65</f>
        <v>100</v>
      </c>
      <c r="H233" s="1090">
        <f>'T1'!I65</f>
        <v>103</v>
      </c>
      <c r="I233" s="1090">
        <f>'T1'!J65</f>
        <v>105.36899999999999</v>
      </c>
      <c r="J233" s="1090">
        <f>'T1'!K65</f>
        <v>106.63342799999998</v>
      </c>
      <c r="K233" s="1090">
        <f>'T1'!L65</f>
        <v>108.97936341599998</v>
      </c>
      <c r="L233" s="32"/>
      <c r="M233" s="1090">
        <f>'T1'!N65</f>
        <v>111.15895068431999</v>
      </c>
      <c r="N233" s="1090">
        <f>'T1'!O65</f>
        <v>113.38212969800639</v>
      </c>
      <c r="O233" s="1090">
        <f>'T1'!P65</f>
        <v>115.64977229196653</v>
      </c>
      <c r="P233" s="51"/>
      <c r="Q233" s="1090">
        <f>'T1'!R65</f>
        <v>106.63342799999998</v>
      </c>
    </row>
    <row r="234" spans="1:17" s="38" customFormat="1" ht="15" customHeight="1">
      <c r="A234" s="33" t="s">
        <v>68</v>
      </c>
      <c r="B234" s="673" t="s">
        <v>69</v>
      </c>
      <c r="C234" s="59" t="s">
        <v>70</v>
      </c>
      <c r="D234" s="675">
        <v>3</v>
      </c>
      <c r="E234" s="37" t="b">
        <f>IF('T1 ENBR'!F39&gt;0,ROUND('T1 ENBR'!F41,$D$234)=ROUND('T1 ENBR'!F16/'T1 ENBR'!F39,$D$234),"N/A")</f>
        <v>1</v>
      </c>
      <c r="F234" s="37" t="b">
        <f>IF('T1 ENBR'!G39&gt;0,ROUND('T1 ENBR'!G41,$D$234)=ROUND('T1 ENBR'!G16/'T1 ENBR'!G39,$D$234),"N/A")</f>
        <v>1</v>
      </c>
      <c r="G234" s="37" t="b">
        <f>IF('T1 ENBR'!H39&gt;0,ROUND('T1 ENBR'!H41,$D$234)=ROUND('T1 ENBR'!H16/'T1 ENBR'!H39,$D$234),"N/A")</f>
        <v>1</v>
      </c>
      <c r="H234" s="37" t="b">
        <f>IF('T1 ENBR'!I39&gt;0,ROUND('T1 ENBR'!I41,$D$234)=ROUND('T1 ENBR'!I16/'T1 ENBR'!I39,$D$234),"N/A")</f>
        <v>1</v>
      </c>
      <c r="I234" s="37" t="b">
        <f>IF('T1 ENBR'!J39&gt;0,ROUND('T1 ENBR'!J41,$D$234)=ROUND('T1 ENBR'!J16/'T1 ENBR'!J39,$D$234),"N/A")</f>
        <v>1</v>
      </c>
      <c r="J234" s="37" t="b">
        <f>IF('T1 ENBR'!K39&gt;0,ROUND('T1 ENBR'!K41,$D$234)=ROUND('T1 ENBR'!K16/'T1 ENBR'!K39,$D$234),"N/A")</f>
        <v>1</v>
      </c>
      <c r="K234" s="37" t="b">
        <f>IF('T1 ENBR'!L39&gt;0,ROUND('T1 ENBR'!L41,$D$234)=ROUND('T1 ENBR'!L16/'T1 ENBR'!L39,$D$234),"N/A")</f>
        <v>1</v>
      </c>
      <c r="L234" s="32"/>
      <c r="M234" s="37" t="b">
        <f>IF('T1 ENBR'!N39&gt;0,ROUND('T1 ENBR'!N41,$D$234)=ROUND('T1 ENBR'!N16/'T1 ENBR'!N39,$D$234),"N/A")</f>
        <v>1</v>
      </c>
      <c r="N234" s="37" t="b">
        <f>IF('T1 ENBR'!O39&gt;0,ROUND('T1 ENBR'!O41,$D$234)=ROUND('T1 ENBR'!O16/'T1 ENBR'!O39,$D$234),"N/A")</f>
        <v>1</v>
      </c>
      <c r="O234" s="37" t="b">
        <f>IF('T1 ENBR'!P39&gt;0,ROUND('T1 ENBR'!P41,$D$234)=ROUND('T1 ENBR'!P16/'T1 ENBR'!P39,$D$234),"N/A")</f>
        <v>1</v>
      </c>
      <c r="P234" s="51"/>
      <c r="Q234" s="37" t="b">
        <f>IF('T1 ENBR'!R39&gt;0,ROUND('T1 ENBR'!R41,$D$234)=ROUND('T1 ENBR'!R16/'T1 ENBR'!R39,$D$234),"N/A")</f>
        <v>1</v>
      </c>
    </row>
    <row r="235" spans="1:17" s="44" customFormat="1" ht="15" customHeight="1" outlineLevel="1">
      <c r="A235" s="39"/>
      <c r="B235" s="676"/>
      <c r="C235" s="1091" t="s">
        <v>646</v>
      </c>
      <c r="D235" s="678"/>
      <c r="E235" s="60">
        <f>IF('T1 ENBR'!F39&gt;0,ROUND('T1 ENBR'!F41,$D$234),"N/A")</f>
        <v>8.5000000000000006E-2</v>
      </c>
      <c r="F235" s="60">
        <f>IF('T1 ENBR'!G39&gt;0,ROUND('T1 ENBR'!G41,$D$234),"N/A")</f>
        <v>7.5999999999999998E-2</v>
      </c>
      <c r="G235" s="60">
        <f>IF('T1 ENBR'!H39&gt;0,ROUND('T1 ENBR'!H41,$D$234),"N/A")</f>
        <v>7.5999999999999998E-2</v>
      </c>
      <c r="H235" s="60">
        <f>IF('T1 ENBR'!I39&gt;0,ROUND('T1 ENBR'!I41,$D$234),"N/A")</f>
        <v>7.5999999999999998E-2</v>
      </c>
      <c r="I235" s="60">
        <f>IF('T1 ENBR'!J39&gt;0,ROUND('T1 ENBR'!J41,$D$234),"N/A")</f>
        <v>7.5999999999999998E-2</v>
      </c>
      <c r="J235" s="60">
        <f>IF('T1 ENBR'!K39&gt;0,ROUND('T1 ENBR'!K41,$D$234),"N/A")</f>
        <v>5.8999999999999997E-2</v>
      </c>
      <c r="K235" s="60">
        <f>IF('T1 ENBR'!L39&gt;0,ROUND('T1 ENBR'!L41,$D$234),"N/A")</f>
        <v>5.8999999999999997E-2</v>
      </c>
      <c r="L235" s="32"/>
      <c r="M235" s="60">
        <f>IF('T1 ENBR'!N39&gt;0,ROUND('T1 ENBR'!N41,$D$234),"N/A")</f>
        <v>5.8999999999999997E-2</v>
      </c>
      <c r="N235" s="60">
        <f>IF('T1 ENBR'!O39&gt;0,ROUND('T1 ENBR'!O41,$D$234),"N/A")</f>
        <v>5.8999999999999997E-2</v>
      </c>
      <c r="O235" s="60">
        <f>IF('T1 ENBR'!P39&gt;0,ROUND('T1 ENBR'!P41,$D$234),"N/A")</f>
        <v>5.8999999999999997E-2</v>
      </c>
      <c r="P235" s="51"/>
      <c r="Q235" s="60">
        <f>IF('T1 ENBR'!R39&gt;0,ROUND('T1 ENBR'!R41,$D$234),"N/A")</f>
        <v>5.8999999999999997E-2</v>
      </c>
    </row>
    <row r="236" spans="1:17" s="44" customFormat="1" ht="15" customHeight="1" outlineLevel="1">
      <c r="A236" s="39"/>
      <c r="B236" s="676"/>
      <c r="C236" s="1091" t="s">
        <v>647</v>
      </c>
      <c r="D236" s="678"/>
      <c r="E236" s="60">
        <f>IF('T1 ENBR'!F39&gt;0,ROUND('T1 ENBR'!F16/'T1 ENBR'!F39,$D$234),"N/A")</f>
        <v>8.5000000000000006E-2</v>
      </c>
      <c r="F236" s="60">
        <f>IF('T1 ENBR'!G39&gt;0,ROUND('T1 ENBR'!G16/'T1 ENBR'!G39,$D$234),"N/A")</f>
        <v>7.5999999999999998E-2</v>
      </c>
      <c r="G236" s="60">
        <f>IF('T1 ENBR'!H39&gt;0,ROUND('T1 ENBR'!H16/'T1 ENBR'!H39,$D$234),"N/A")</f>
        <v>7.5999999999999998E-2</v>
      </c>
      <c r="H236" s="60">
        <f>IF('T1 ENBR'!I39&gt;0,ROUND('T1 ENBR'!I16/'T1 ENBR'!I39,$D$234),"N/A")</f>
        <v>7.5999999999999998E-2</v>
      </c>
      <c r="I236" s="60">
        <f>IF('T1 ENBR'!J39&gt;0,ROUND('T1 ENBR'!J16/'T1 ENBR'!J39,$D$234),"N/A")</f>
        <v>7.5999999999999998E-2</v>
      </c>
      <c r="J236" s="60">
        <f>IF('T1 ENBR'!K39&gt;0,ROUND('T1 ENBR'!K16/'T1 ENBR'!K39,$D$234),"N/A")</f>
        <v>5.8999999999999997E-2</v>
      </c>
      <c r="K236" s="60">
        <f>IF('T1 ENBR'!L39&gt;0,ROUND('T1 ENBR'!L16/'T1 ENBR'!L39,$D$234),"N/A")</f>
        <v>5.8999999999999997E-2</v>
      </c>
      <c r="L236" s="32"/>
      <c r="M236" s="60">
        <f>IF('T1 ENBR'!N39&gt;0,ROUND('T1 ENBR'!N16/'T1 ENBR'!N39,$D$234),"N/A")</f>
        <v>5.8999999999999997E-2</v>
      </c>
      <c r="N236" s="60">
        <f>IF('T1 ENBR'!O39&gt;0,ROUND('T1 ENBR'!O16/'T1 ENBR'!O39,$D$234),"N/A")</f>
        <v>5.8999999999999997E-2</v>
      </c>
      <c r="O236" s="60">
        <f>IF('T1 ENBR'!P39&gt;0,ROUND('T1 ENBR'!P16/'T1 ENBR'!P39,$D$234),"N/A")</f>
        <v>5.8999999999999997E-2</v>
      </c>
      <c r="P236" s="51"/>
      <c r="Q236" s="60">
        <f>IF('T1 ENBR'!R39&gt;0,ROUND('T1 ENBR'!R16/'T1 ENBR'!R39,$D$234),"N/A")</f>
        <v>5.8999999999999997E-2</v>
      </c>
    </row>
    <row r="237" spans="1:17" s="38" customFormat="1" ht="15" customHeight="1">
      <c r="A237" s="33" t="s">
        <v>78</v>
      </c>
      <c r="B237" s="673" t="s">
        <v>79</v>
      </c>
      <c r="C237" s="704" t="s">
        <v>80</v>
      </c>
      <c r="D237" s="675">
        <v>3</v>
      </c>
      <c r="E237" s="37" t="b">
        <f>ROUND(SUM('T1 ENBR'!F36:F38),$D$237)=ROUND('T1 ENBR'!F39,$D$237)</f>
        <v>1</v>
      </c>
      <c r="F237" s="37" t="b">
        <f>ROUND(SUM('T1 ENBR'!G36:G38),$D$237)=ROUND('T1 ENBR'!G39,$D$237)</f>
        <v>1</v>
      </c>
      <c r="G237" s="37" t="b">
        <f>ROUND(SUM('T1 ENBR'!H36:H38),$D$237)=ROUND('T1 ENBR'!H39,$D$237)</f>
        <v>1</v>
      </c>
      <c r="H237" s="37" t="b">
        <f>ROUND(SUM('T1 ENBR'!I36:I38),$D$237)=ROUND('T1 ENBR'!I39,$D$237)</f>
        <v>1</v>
      </c>
      <c r="I237" s="37" t="b">
        <f>ROUND(SUM('T1 ENBR'!J36:J38),$D$237)=ROUND('T1 ENBR'!J39,$D$237)</f>
        <v>1</v>
      </c>
      <c r="J237" s="37" t="b">
        <f>ROUND(SUM('T1 ENBR'!K36:K38),$D$237)=ROUND('T1 ENBR'!K39,$D$237)</f>
        <v>1</v>
      </c>
      <c r="K237" s="37" t="b">
        <f>ROUND(SUM('T1 ENBR'!L36:L38),$D$237)=ROUND('T1 ENBR'!L39,$D$237)</f>
        <v>1</v>
      </c>
      <c r="L237" s="32"/>
      <c r="M237" s="37" t="b">
        <f>ROUND(SUM('T1 ENBR'!N36:N38),$D$237)=ROUND('T1 ENBR'!N39,$D$237)</f>
        <v>1</v>
      </c>
      <c r="N237" s="37" t="b">
        <f>ROUND(SUM('T1 ENBR'!O36:O38),$D$237)=ROUND('T1 ENBR'!O39,$D$237)</f>
        <v>1</v>
      </c>
      <c r="O237" s="37" t="b">
        <f>ROUND(SUM('T1 ENBR'!P36:P38),$D$237)=ROUND('T1 ENBR'!P39,$D$237)</f>
        <v>1</v>
      </c>
      <c r="P237" s="51"/>
      <c r="Q237" s="37" t="b">
        <f>ROUND(SUM('T1 ENBR'!R36:R38),$D$237)=ROUND('T1 ENBR'!R39,$D$237)</f>
        <v>1</v>
      </c>
    </row>
    <row r="238" spans="1:17" s="44" customFormat="1" ht="15" customHeight="1" outlineLevel="1">
      <c r="A238" s="39"/>
      <c r="B238" s="676"/>
      <c r="C238" s="677" t="s">
        <v>81</v>
      </c>
      <c r="D238" s="678"/>
      <c r="E238" s="672">
        <f>ROUND(SUM('T1 ENBR'!F36:F38),$D$237)</f>
        <v>8657.5</v>
      </c>
      <c r="F238" s="672">
        <f>ROUND(SUM('T1 ENBR'!G36:G38),$D$237)</f>
        <v>49955</v>
      </c>
      <c r="G238" s="672">
        <f>ROUND(SUM('T1 ENBR'!H36:H38),$D$237)</f>
        <v>52942.105000000003</v>
      </c>
      <c r="H238" s="672">
        <f>ROUND(SUM('T1 ENBR'!I36:I38),$D$237)</f>
        <v>43624.025999999998</v>
      </c>
      <c r="I238" s="672">
        <f>ROUND(SUM('T1 ENBR'!J36:J38),$D$237)</f>
        <v>32382.578000000001</v>
      </c>
      <c r="J238" s="672">
        <f>ROUND(SUM('T1 ENBR'!K36:K38),$D$237)</f>
        <v>51299.843000000001</v>
      </c>
      <c r="K238" s="672">
        <f>ROUND(SUM('T1 ENBR'!L36:L38),$D$237)</f>
        <v>54959.593999999997</v>
      </c>
      <c r="L238" s="32"/>
      <c r="M238" s="672">
        <f>ROUND(SUM('T1 ENBR'!N36:N38),$D$237)</f>
        <v>65083.466999999997</v>
      </c>
      <c r="N238" s="672">
        <f>ROUND(SUM('T1 ENBR'!O36:O38),$D$237)</f>
        <v>73173.475000000006</v>
      </c>
      <c r="O238" s="672">
        <f>ROUND(SUM('T1 ENBR'!P36:P38),$D$237)</f>
        <v>71575.585000000006</v>
      </c>
      <c r="P238" s="51"/>
      <c r="Q238" s="672">
        <f>ROUND(SUM('T1 ENBR'!R36:R38),$D$237)</f>
        <v>51299.843000000001</v>
      </c>
    </row>
    <row r="239" spans="1:17" s="44" customFormat="1" ht="15" customHeight="1" outlineLevel="1">
      <c r="A239" s="39"/>
      <c r="B239" s="676"/>
      <c r="C239" s="677" t="s">
        <v>82</v>
      </c>
      <c r="D239" s="678"/>
      <c r="E239" s="672">
        <f>ROUND('T1 ENBR'!F39,$D$237)</f>
        <v>8657.5</v>
      </c>
      <c r="F239" s="672">
        <f>ROUND('T1 ENBR'!G39,$D$237)</f>
        <v>49955</v>
      </c>
      <c r="G239" s="672">
        <f>ROUND('T1 ENBR'!H39,$D$237)</f>
        <v>52942.105000000003</v>
      </c>
      <c r="H239" s="672">
        <f>ROUND('T1 ENBR'!I39,$D$237)</f>
        <v>43624.025999999998</v>
      </c>
      <c r="I239" s="672">
        <f>ROUND('T1 ENBR'!J39,$D$237)</f>
        <v>32382.578000000001</v>
      </c>
      <c r="J239" s="672">
        <f>ROUND('T1 ENBR'!K39,$D$237)</f>
        <v>51299.843000000001</v>
      </c>
      <c r="K239" s="672">
        <f>ROUND('T1 ENBR'!L39,$D$237)</f>
        <v>54959.593999999997</v>
      </c>
      <c r="L239" s="32"/>
      <c r="M239" s="672">
        <f>ROUND('T1 ENBR'!N39,$D$237)</f>
        <v>65083.466999999997</v>
      </c>
      <c r="N239" s="672">
        <f>ROUND('T1 ENBR'!O39,$D$237)</f>
        <v>73173.475000000006</v>
      </c>
      <c r="O239" s="672">
        <f>ROUND('T1 ENBR'!P39,$D$237)</f>
        <v>71575.585000000006</v>
      </c>
      <c r="P239" s="51"/>
      <c r="Q239" s="672">
        <f>ROUND('T1 ENBR'!R39,$D$237)</f>
        <v>51299.843000000001</v>
      </c>
    </row>
    <row r="240" spans="1:17" s="38" customFormat="1" ht="15" customHeight="1">
      <c r="A240" s="33" t="s">
        <v>83</v>
      </c>
      <c r="B240" s="673" t="s">
        <v>79</v>
      </c>
      <c r="C240" s="674" t="s">
        <v>84</v>
      </c>
      <c r="D240" s="675">
        <v>3</v>
      </c>
      <c r="E240" s="37" t="b">
        <f>IF(ROUND('T1 ENBR'!F39,$D$240)=0,ROUND('T1 ENBR'!F16,$D$240)=0,TRUE)</f>
        <v>1</v>
      </c>
      <c r="F240" s="37" t="b">
        <f>IF(ROUND('T1 ENBR'!G39,$D$240)=0,ROUND('T1 ENBR'!G16,$D$240)=0,TRUE)</f>
        <v>1</v>
      </c>
      <c r="G240" s="37" t="b">
        <f>IF(ROUND('T1 ENBR'!H39,$D$240)=0,ROUND('T1 ENBR'!H16,$D$240)=0,TRUE)</f>
        <v>1</v>
      </c>
      <c r="H240" s="37" t="b">
        <f>IF(ROUND('T1 ENBR'!I39,$D$240)=0,ROUND('T1 ENBR'!I16,$D$240)=0,TRUE)</f>
        <v>1</v>
      </c>
      <c r="I240" s="37" t="b">
        <f>IF(ROUND('T1 ENBR'!J39,$D$240)=0,ROUND('T1 ENBR'!J16,$D$240)=0,TRUE)</f>
        <v>1</v>
      </c>
      <c r="J240" s="37" t="b">
        <f>IF(ROUND('T1 ENBR'!K39,$D$240)=0,ROUND('T1 ENBR'!K16,$D$240)=0,TRUE)</f>
        <v>1</v>
      </c>
      <c r="K240" s="37" t="b">
        <f>IF(ROUND('T1 ENBR'!L39,$D$240)=0,ROUND('T1 ENBR'!L16,$D$240)=0,TRUE)</f>
        <v>1</v>
      </c>
      <c r="L240" s="32"/>
      <c r="M240" s="37" t="b">
        <f>IF(ROUND('T1 ENBR'!N39,$D$240)=0,ROUND('T1 ENBR'!N16,$D$240)=0,TRUE)</f>
        <v>1</v>
      </c>
      <c r="N240" s="37" t="b">
        <f>IF(ROUND('T1 ENBR'!O39,$D$240)=0,ROUND('T1 ENBR'!O16,$D$240)=0,TRUE)</f>
        <v>1</v>
      </c>
      <c r="O240" s="37" t="b">
        <f>IF(ROUND('T1 ENBR'!P39,$D$240)=0,ROUND('T1 ENBR'!P16,$D$240)=0,TRUE)</f>
        <v>1</v>
      </c>
      <c r="P240" s="51"/>
      <c r="Q240" s="37" t="b">
        <f>IF(ROUND('T1 ENBR'!R39,$D$240)=0,ROUND('T1 ENBR'!R16,$D$240)=0,TRUE)</f>
        <v>1</v>
      </c>
    </row>
    <row r="241" spans="1:17" s="44" customFormat="1" ht="15" customHeight="1" outlineLevel="1">
      <c r="A241" s="39"/>
      <c r="B241" s="676"/>
      <c r="C241" s="677" t="s">
        <v>82</v>
      </c>
      <c r="D241" s="678"/>
      <c r="E241" s="672">
        <f>ROUND('T1 ENBR'!F39,$D$240)</f>
        <v>8657.5</v>
      </c>
      <c r="F241" s="672">
        <f>ROUND('T1 ENBR'!G39,$D$240)</f>
        <v>49955</v>
      </c>
      <c r="G241" s="672">
        <f>ROUND('T1 ENBR'!H39,$D$240)</f>
        <v>52942.105000000003</v>
      </c>
      <c r="H241" s="672">
        <f>ROUND('T1 ENBR'!I39,$D$240)</f>
        <v>43624.025999999998</v>
      </c>
      <c r="I241" s="672">
        <f>ROUND('T1 ENBR'!J39,$D$240)</f>
        <v>32382.578000000001</v>
      </c>
      <c r="J241" s="672">
        <f>ROUND('T1 ENBR'!K39,$D$240)</f>
        <v>51299.843000000001</v>
      </c>
      <c r="K241" s="672">
        <f>ROUND('T1 ENBR'!L39,$D$240)</f>
        <v>54959.593999999997</v>
      </c>
      <c r="L241" s="32"/>
      <c r="M241" s="672">
        <f>ROUND('T1 ENBR'!N39,$D$240)</f>
        <v>65083.466999999997</v>
      </c>
      <c r="N241" s="672">
        <f>ROUND('T1 ENBR'!O39,$D$240)</f>
        <v>73173.475000000006</v>
      </c>
      <c r="O241" s="672">
        <f>ROUND('T1 ENBR'!P39,$D$240)</f>
        <v>71575.585000000006</v>
      </c>
      <c r="P241" s="51"/>
      <c r="Q241" s="672">
        <f>ROUND('T1 ENBR'!R39,$D$240)</f>
        <v>51299.843000000001</v>
      </c>
    </row>
    <row r="242" spans="1:17" s="44" customFormat="1" ht="15" customHeight="1" outlineLevel="1">
      <c r="A242" s="39"/>
      <c r="B242" s="676"/>
      <c r="C242" s="677" t="s">
        <v>85</v>
      </c>
      <c r="D242" s="678"/>
      <c r="E242" s="672">
        <f>ROUND('T1 ENBR'!F16,$D$240)</f>
        <v>736.00099999999998</v>
      </c>
      <c r="F242" s="672">
        <f>ROUND('T1 ENBR'!G16,$D$240)</f>
        <v>3796.5790000000002</v>
      </c>
      <c r="G242" s="672">
        <f>ROUND('T1 ENBR'!H16,$D$240)</f>
        <v>4024.3150000000001</v>
      </c>
      <c r="H242" s="672">
        <f>ROUND('T1 ENBR'!I16,$D$240)</f>
        <v>3315.4259999999999</v>
      </c>
      <c r="I242" s="672">
        <f>ROUND('T1 ENBR'!J16,$D$240)</f>
        <v>2461.076</v>
      </c>
      <c r="J242" s="672">
        <f>ROUND('T1 ENBR'!K16,$D$240)</f>
        <v>3001.0410000000002</v>
      </c>
      <c r="K242" s="672">
        <f>ROUND('T1 ENBR'!L16,$D$240)</f>
        <v>3215.136</v>
      </c>
      <c r="L242" s="32"/>
      <c r="M242" s="672">
        <f>ROUND('T1 ENBR'!N16,$D$240)</f>
        <v>3807.3829999999998</v>
      </c>
      <c r="N242" s="672">
        <f>ROUND('T1 ENBR'!O16,$D$240)</f>
        <v>4280.6480000000001</v>
      </c>
      <c r="O242" s="672">
        <f>ROUND('T1 ENBR'!P16,$D$240)</f>
        <v>4187.1719999999996</v>
      </c>
      <c r="P242" s="51"/>
      <c r="Q242" s="672">
        <f>ROUND('T1 ENBR'!R16,$D$240)</f>
        <v>3001.0410000000002</v>
      </c>
    </row>
    <row r="243" spans="1:17" s="51" customFormat="1" ht="20.100000000000001" customHeight="1">
      <c r="A243" s="27" t="s">
        <v>13</v>
      </c>
      <c r="B243" s="28" t="s">
        <v>14</v>
      </c>
      <c r="C243" s="29" t="s">
        <v>701</v>
      </c>
      <c r="D243" s="49"/>
      <c r="E243" s="50"/>
      <c r="F243" s="50"/>
      <c r="G243" s="50"/>
      <c r="H243" s="50"/>
      <c r="I243" s="50"/>
      <c r="J243" s="50"/>
      <c r="K243" s="50"/>
      <c r="L243" s="50"/>
      <c r="M243" s="50"/>
      <c r="N243" s="50"/>
      <c r="O243" s="50"/>
      <c r="Q243" s="50"/>
    </row>
    <row r="244" spans="1:17" s="38" customFormat="1" ht="15" customHeight="1">
      <c r="A244" s="33" t="s">
        <v>20</v>
      </c>
      <c r="B244" s="673" t="s">
        <v>21</v>
      </c>
      <c r="C244" s="704" t="s">
        <v>86</v>
      </c>
      <c r="D244" s="675">
        <v>3</v>
      </c>
      <c r="E244" s="37" t="b">
        <f>ROUND('T1 ENGM'!F18,$D$244)=ROUND(SUM('T1 ENGM'!F12,'T1 ENGM'!F14:F17),$D$244)</f>
        <v>1</v>
      </c>
      <c r="F244" s="37" t="b">
        <f>ROUND('T1 ENGM'!G18,$D$244)=ROUND(SUM('T1 ENGM'!G12,'T1 ENGM'!G14:G17),$D$244)</f>
        <v>1</v>
      </c>
      <c r="G244" s="37" t="b">
        <f>ROUND('T1 ENGM'!H18,$D$244)=ROUND(SUM('T1 ENGM'!H12,'T1 ENGM'!H14:H17),$D$244)</f>
        <v>1</v>
      </c>
      <c r="H244" s="37" t="b">
        <f>ROUND('T1 ENGM'!I18,$D$244)=ROUND(SUM('T1 ENGM'!I12,'T1 ENGM'!I14:I17),$D$244)</f>
        <v>1</v>
      </c>
      <c r="I244" s="37" t="b">
        <f>ROUND('T1 ENGM'!J18,$D$244)=ROUND(SUM('T1 ENGM'!J12,'T1 ENGM'!J14:J17),$D$244)</f>
        <v>1</v>
      </c>
      <c r="J244" s="37" t="b">
        <f>ROUND('T1 ENGM'!K18,$D$244)=ROUND(SUM('T1 ENGM'!K12,'T1 ENGM'!K14:K17),$D$244)</f>
        <v>1</v>
      </c>
      <c r="K244" s="37" t="b">
        <f>ROUND('T1 ENGM'!L18,$D$244)=ROUND(SUM('T1 ENGM'!L12,'T1 ENGM'!L14:L17),$D$244)</f>
        <v>1</v>
      </c>
      <c r="L244" s="37" t="b">
        <f>ROUND('T1 ENGM'!M18,$D$244)=ROUND(SUM('T1 ENGM'!M12,'T1 ENGM'!M14:M17),$D$244)</f>
        <v>1</v>
      </c>
      <c r="M244" s="37" t="b">
        <f>ROUND('T1 ENGM'!N18,$D$244)=ROUND(SUM('T1 ENGM'!N12,'T1 ENGM'!N14:N17),$D$244)</f>
        <v>1</v>
      </c>
      <c r="N244" s="37" t="b">
        <f>ROUND('T1 ENGM'!O18,$D$244)=ROUND(SUM('T1 ENGM'!O12,'T1 ENGM'!O14:O17),$D$244)</f>
        <v>1</v>
      </c>
      <c r="O244" s="37" t="b">
        <f>ROUND('T1 ENGM'!P18,$D$244)=ROUND(SUM('T1 ENGM'!P12,'T1 ENGM'!P14:P17),$D$244)</f>
        <v>1</v>
      </c>
      <c r="P244" s="51"/>
      <c r="Q244" s="37" t="b">
        <f>ROUND('T1 ENGM'!R18,$D$244)=ROUND(SUM('T1 ENGM'!R12,'T1 ENGM'!R14:R17),$D$244)</f>
        <v>1</v>
      </c>
    </row>
    <row r="245" spans="1:17" s="44" customFormat="1" ht="15" customHeight="1" outlineLevel="1">
      <c r="A245" s="39"/>
      <c r="B245" s="676"/>
      <c r="C245" s="677" t="s">
        <v>23</v>
      </c>
      <c r="D245" s="678"/>
      <c r="E245" s="672">
        <f>ROUND('T1 ENGM'!F18,$D$244)</f>
        <v>211189.96400000001</v>
      </c>
      <c r="F245" s="672">
        <f>ROUND('T1 ENGM'!G18,$D$244)</f>
        <v>207904</v>
      </c>
      <c r="G245" s="672">
        <f>ROUND('T1 ENGM'!H18,$D$244)</f>
        <v>217826.005</v>
      </c>
      <c r="H245" s="672">
        <f>ROUND('T1 ENGM'!I18,$D$244)</f>
        <v>229972.18100000001</v>
      </c>
      <c r="I245" s="672">
        <f>ROUND('T1 ENGM'!J18,$D$244)</f>
        <v>211374.595</v>
      </c>
      <c r="J245" s="672">
        <f>ROUND('T1 ENGM'!K18,$D$244)</f>
        <v>199266.21100000001</v>
      </c>
      <c r="K245" s="672">
        <f>ROUND('T1 ENGM'!L18,$D$244)</f>
        <v>202888.73300000001</v>
      </c>
      <c r="L245" s="672">
        <f>ROUND('T1 ENGM'!M18,$D$244)</f>
        <v>402154.94400000002</v>
      </c>
      <c r="M245" s="672">
        <f>ROUND('T1 ENGM'!N18,$D$244)</f>
        <v>208239.87899999999</v>
      </c>
      <c r="N245" s="672">
        <f>ROUND('T1 ENGM'!O18,$D$244)</f>
        <v>214487.965</v>
      </c>
      <c r="O245" s="672">
        <f>ROUND('T1 ENGM'!P18,$D$244)</f>
        <v>226069.92800000001</v>
      </c>
      <c r="P245" s="51"/>
      <c r="Q245" s="672">
        <f>ROUND('T1 ENGM'!R18,$D$244)</f>
        <v>199266.21100000001</v>
      </c>
    </row>
    <row r="246" spans="1:17" s="44" customFormat="1" ht="15" customHeight="1" outlineLevel="1">
      <c r="A246" s="39"/>
      <c r="B246" s="676"/>
      <c r="C246" s="677" t="s">
        <v>24</v>
      </c>
      <c r="D246" s="678"/>
      <c r="E246" s="672">
        <f>ROUND(SUM('T1 ENGM'!F12,'T1 ENGM'!F14:F17),$D$244)</f>
        <v>211189.96400000001</v>
      </c>
      <c r="F246" s="672">
        <f>ROUND(SUM('T1 ENGM'!G12,'T1 ENGM'!G14:G17),$D$244)</f>
        <v>207904</v>
      </c>
      <c r="G246" s="672">
        <f>ROUND(SUM('T1 ENGM'!H12,'T1 ENGM'!H14:H17),$D$244)</f>
        <v>217826.005</v>
      </c>
      <c r="H246" s="672">
        <f>ROUND(SUM('T1 ENGM'!I12,'T1 ENGM'!I14:I17),$D$244)</f>
        <v>229972.18100000001</v>
      </c>
      <c r="I246" s="672">
        <f>ROUND(SUM('T1 ENGM'!J12,'T1 ENGM'!J14:J17),$D$244)</f>
        <v>211374.595</v>
      </c>
      <c r="J246" s="672">
        <f>ROUND(SUM('T1 ENGM'!K12,'T1 ENGM'!K14:K17),$D$244)</f>
        <v>199266.21100000001</v>
      </c>
      <c r="K246" s="672">
        <f>ROUND(SUM('T1 ENGM'!L12,'T1 ENGM'!L14:L17),$D$244)</f>
        <v>202888.73300000001</v>
      </c>
      <c r="L246" s="672">
        <f>ROUND(SUM('T1 ENGM'!M12,'T1 ENGM'!M14:M17),$D$244)</f>
        <v>402154.94400000002</v>
      </c>
      <c r="M246" s="672">
        <f>ROUND(SUM('T1 ENGM'!N12,'T1 ENGM'!N14:N17),$D$244)</f>
        <v>208239.87899999999</v>
      </c>
      <c r="N246" s="672">
        <f>ROUND(SUM('T1 ENGM'!O12,'T1 ENGM'!O14:O17),$D$244)</f>
        <v>214487.965</v>
      </c>
      <c r="O246" s="672">
        <f>ROUND(SUM('T1 ENGM'!P12,'T1 ENGM'!P14:P17),$D$244)</f>
        <v>226069.92800000001</v>
      </c>
      <c r="P246" s="51"/>
      <c r="Q246" s="672">
        <f>ROUND(SUM('T1 ENGM'!R12,'T1 ENGM'!R14:R17),$D$244)</f>
        <v>199266.21100000001</v>
      </c>
    </row>
    <row r="247" spans="1:17" s="38" customFormat="1" ht="15" customHeight="1">
      <c r="A247" s="33" t="s">
        <v>25</v>
      </c>
      <c r="B247" s="673" t="s">
        <v>26</v>
      </c>
      <c r="C247" s="704" t="s">
        <v>27</v>
      </c>
      <c r="D247" s="675">
        <v>3</v>
      </c>
      <c r="E247" s="37" t="b">
        <f>ROUND('T1 ENGM'!F31,$D$247)=ROUND(SUM('T1 ENGM'!F22:F30),$D$247)</f>
        <v>1</v>
      </c>
      <c r="F247" s="37" t="b">
        <f>ROUND('T1 ENGM'!G31,$D$247)=ROUND(SUM('T1 ENGM'!G22:G30),$D$247)</f>
        <v>1</v>
      </c>
      <c r="G247" s="37" t="b">
        <f>ROUND('T1 ENGM'!H31,$D$247)=ROUND(SUM('T1 ENGM'!H22:H30),$D$247)</f>
        <v>1</v>
      </c>
      <c r="H247" s="37" t="b">
        <f>ROUND('T1 ENGM'!I31,$D$247)=ROUND(SUM('T1 ENGM'!I22:I30),$D$247)</f>
        <v>1</v>
      </c>
      <c r="I247" s="37" t="b">
        <f>ROUND('T1 ENGM'!J31,$D$247)=ROUND(SUM('T1 ENGM'!J22:J30),$D$247)</f>
        <v>1</v>
      </c>
      <c r="J247" s="37" t="b">
        <f>ROUND('T1 ENGM'!K31,$D$247)=ROUND(SUM('T1 ENGM'!K22:K30),$D$247)</f>
        <v>1</v>
      </c>
      <c r="K247" s="37" t="b">
        <f>ROUND('T1 ENGM'!L31,$D$247)=ROUND(SUM('T1 ENGM'!L22:L30),$D$247)</f>
        <v>1</v>
      </c>
      <c r="L247" s="37" t="b">
        <f>ROUND('T1 ENGM'!M31,$D$247)=ROUND(SUM('T1 ENGM'!M22:M30),$D$247)</f>
        <v>1</v>
      </c>
      <c r="M247" s="37" t="b">
        <f>ROUND('T1 ENGM'!N31,$D$247)=ROUND(SUM('T1 ENGM'!N22:N30),$D$247)</f>
        <v>1</v>
      </c>
      <c r="N247" s="37" t="b">
        <f>ROUND('T1 ENGM'!O31,$D$247)=ROUND(SUM('T1 ENGM'!O22:O30),$D$247)</f>
        <v>1</v>
      </c>
      <c r="O247" s="37" t="b">
        <f>ROUND('T1 ENGM'!P31,$D$247)=ROUND(SUM('T1 ENGM'!P22:P30),$D$247)</f>
        <v>1</v>
      </c>
      <c r="P247" s="51"/>
      <c r="Q247" s="37" t="b">
        <f>ROUND('T1 ENGM'!R31,$D$247)=ROUND(SUM('T1 ENGM'!R22:R30),$D$247)</f>
        <v>1</v>
      </c>
    </row>
    <row r="248" spans="1:17" s="44" customFormat="1" ht="15" customHeight="1" outlineLevel="1">
      <c r="A248" s="39"/>
      <c r="B248" s="676"/>
      <c r="C248" s="677" t="s">
        <v>28</v>
      </c>
      <c r="D248" s="678"/>
      <c r="E248" s="672">
        <f>ROUND('T1 ENGM'!F31,$D$247)</f>
        <v>211189.96400000001</v>
      </c>
      <c r="F248" s="672">
        <f>ROUND('T1 ENGM'!G31,$D$247)</f>
        <v>207904</v>
      </c>
      <c r="G248" s="672">
        <f>ROUND('T1 ENGM'!H31,$D$247)</f>
        <v>217826.005</v>
      </c>
      <c r="H248" s="672">
        <f>ROUND('T1 ENGM'!I31,$D$247)</f>
        <v>229972.18100000001</v>
      </c>
      <c r="I248" s="672">
        <f>ROUND('T1 ENGM'!J31,$D$247)</f>
        <v>211374.595</v>
      </c>
      <c r="J248" s="672">
        <f>ROUND('T1 ENGM'!K31,$D$247)</f>
        <v>199266.21100000001</v>
      </c>
      <c r="K248" s="672">
        <f>ROUND('T1 ENGM'!L31,$D$247)</f>
        <v>202888.73300000001</v>
      </c>
      <c r="L248" s="672">
        <f>ROUND('T1 ENGM'!M31,$D$247)</f>
        <v>402154.94400000002</v>
      </c>
      <c r="M248" s="672">
        <f>ROUND('T1 ENGM'!N31,$D$247)</f>
        <v>208239.87899999999</v>
      </c>
      <c r="N248" s="672">
        <f>ROUND('T1 ENGM'!O31,$D$247)</f>
        <v>214487.965</v>
      </c>
      <c r="O248" s="672">
        <f>ROUND('T1 ENGM'!P31,$D$247)</f>
        <v>226069.92800000001</v>
      </c>
      <c r="P248" s="51"/>
      <c r="Q248" s="672">
        <f>ROUND('T1 ENGM'!R31,$D$247)</f>
        <v>199266.21100000001</v>
      </c>
    </row>
    <row r="249" spans="1:17" s="44" customFormat="1" ht="15" customHeight="1" outlineLevel="1">
      <c r="A249" s="39"/>
      <c r="B249" s="676"/>
      <c r="C249" s="677" t="s">
        <v>29</v>
      </c>
      <c r="D249" s="678"/>
      <c r="E249" s="672">
        <f>ROUND(SUM('T1 ENGM'!F22:F30),$D$247)</f>
        <v>211189.96400000001</v>
      </c>
      <c r="F249" s="672">
        <f>ROUND(SUM('T1 ENGM'!G22:G30),$D$247)</f>
        <v>207904</v>
      </c>
      <c r="G249" s="672">
        <f>ROUND(SUM('T1 ENGM'!H22:H30),$D$247)</f>
        <v>217826.005</v>
      </c>
      <c r="H249" s="672">
        <f>ROUND(SUM('T1 ENGM'!I22:I30),$D$247)</f>
        <v>229972.18100000001</v>
      </c>
      <c r="I249" s="672">
        <f>ROUND(SUM('T1 ENGM'!J22:J30),$D$247)</f>
        <v>211374.595</v>
      </c>
      <c r="J249" s="672">
        <f>ROUND(SUM('T1 ENGM'!K22:K30),$D$247)</f>
        <v>199266.21100000001</v>
      </c>
      <c r="K249" s="672">
        <f>ROUND(SUM('T1 ENGM'!L22:L30),$D$247)</f>
        <v>202888.73300000001</v>
      </c>
      <c r="L249" s="672">
        <f>ROUND(SUM('T1 ENGM'!M22:M30),$D$247)</f>
        <v>402154.94400000002</v>
      </c>
      <c r="M249" s="672">
        <f>ROUND(SUM('T1 ENGM'!N22:N30),$D$247)</f>
        <v>208239.87899999999</v>
      </c>
      <c r="N249" s="672">
        <f>ROUND(SUM('T1 ENGM'!O22:O30),$D$247)</f>
        <v>214487.965</v>
      </c>
      <c r="O249" s="672">
        <f>ROUND(SUM('T1 ENGM'!P22:P30),$D$247)</f>
        <v>226069.92800000001</v>
      </c>
      <c r="P249" s="51"/>
      <c r="Q249" s="672">
        <f>ROUND(SUM('T1 ENGM'!R22:R30),$D$247)</f>
        <v>199266.21100000001</v>
      </c>
    </row>
    <row r="250" spans="1:17" s="38" customFormat="1" ht="15" customHeight="1">
      <c r="A250" s="33" t="s">
        <v>30</v>
      </c>
      <c r="B250" s="673" t="s">
        <v>26</v>
      </c>
      <c r="C250" s="704" t="s">
        <v>31</v>
      </c>
      <c r="D250" s="675">
        <v>3</v>
      </c>
      <c r="E250" s="37" t="b">
        <f>ROUND('T1 ENGM'!F18,$D$250)=ROUND('T1 ENGM'!F31,$D$250)</f>
        <v>1</v>
      </c>
      <c r="F250" s="37" t="b">
        <f>ROUND('T1 ENGM'!G18,$D$250)=ROUND('T1 ENGM'!G31,$D$250)</f>
        <v>1</v>
      </c>
      <c r="G250" s="37" t="b">
        <f>ROUND('T1 ENGM'!H18,$D$250)=ROUND('T1 ENGM'!H31,$D$250)</f>
        <v>1</v>
      </c>
      <c r="H250" s="37" t="b">
        <f>ROUND('T1 ENGM'!I18,$D$250)=ROUND('T1 ENGM'!I31,$D$250)</f>
        <v>1</v>
      </c>
      <c r="I250" s="37" t="b">
        <f>ROUND('T1 ENGM'!J18,$D$250)=ROUND('T1 ENGM'!J31,$D$250)</f>
        <v>1</v>
      </c>
      <c r="J250" s="37" t="b">
        <f>ROUND('T1 ENGM'!K18,$D$250)=ROUND('T1 ENGM'!K31,$D$250)</f>
        <v>1</v>
      </c>
      <c r="K250" s="37" t="b">
        <f>ROUND('T1 ENGM'!L18,$D$250)=ROUND('T1 ENGM'!L31,$D$250)</f>
        <v>1</v>
      </c>
      <c r="L250" s="37" t="b">
        <f>ROUND('T1 ENGM'!M18,$D$250)=ROUND('T1 ENGM'!M31,$D$250)</f>
        <v>1</v>
      </c>
      <c r="M250" s="37" t="b">
        <f>ROUND('T1 ENGM'!N18,$D$250)=ROUND('T1 ENGM'!N31,$D$250)</f>
        <v>1</v>
      </c>
      <c r="N250" s="37" t="b">
        <f>ROUND('T1 ENGM'!O18,$D$250)=ROUND('T1 ENGM'!O31,$D$250)</f>
        <v>1</v>
      </c>
      <c r="O250" s="37" t="b">
        <f>ROUND('T1 ENGM'!P18,$D$250)=ROUND('T1 ENGM'!P31,$D$250)</f>
        <v>1</v>
      </c>
      <c r="P250" s="51"/>
      <c r="Q250" s="37" t="b">
        <f>ROUND('T1 ENGM'!R18,$D$250)=ROUND('T1 ENGM'!R31,$D$250)</f>
        <v>1</v>
      </c>
    </row>
    <row r="251" spans="1:17" s="44" customFormat="1" ht="15" customHeight="1" outlineLevel="1">
      <c r="A251" s="39"/>
      <c r="B251" s="676"/>
      <c r="C251" s="677" t="s">
        <v>23</v>
      </c>
      <c r="D251" s="678"/>
      <c r="E251" s="672">
        <f>ROUND('T1 ENGM'!F18,$D$250)</f>
        <v>211189.96400000001</v>
      </c>
      <c r="F251" s="672">
        <f>ROUND('T1 ENGM'!G18,$D$250)</f>
        <v>207904</v>
      </c>
      <c r="G251" s="672">
        <f>ROUND('T1 ENGM'!H18,$D$250)</f>
        <v>217826.005</v>
      </c>
      <c r="H251" s="672">
        <f>ROUND('T1 ENGM'!I18,$D$250)</f>
        <v>229972.18100000001</v>
      </c>
      <c r="I251" s="672">
        <f>ROUND('T1 ENGM'!J18,$D$250)</f>
        <v>211374.595</v>
      </c>
      <c r="J251" s="672">
        <f>ROUND('T1 ENGM'!K18,$D$250)</f>
        <v>199266.21100000001</v>
      </c>
      <c r="K251" s="672">
        <f>ROUND('T1 ENGM'!L18,$D$250)</f>
        <v>202888.73300000001</v>
      </c>
      <c r="L251" s="672">
        <f>ROUND('T1 ENGM'!M18,$D$250)</f>
        <v>402154.94400000002</v>
      </c>
      <c r="M251" s="672">
        <f>ROUND('T1 ENGM'!N18,$D$250)</f>
        <v>208239.87899999999</v>
      </c>
      <c r="N251" s="672">
        <f>ROUND('T1 ENGM'!O18,$D$250)</f>
        <v>214487.965</v>
      </c>
      <c r="O251" s="672">
        <f>ROUND('T1 ENGM'!P18,$D$250)</f>
        <v>226069.92800000001</v>
      </c>
      <c r="P251" s="51"/>
      <c r="Q251" s="672">
        <f>ROUND('T1 ENGM'!R18,$D$250)</f>
        <v>199266.21100000001</v>
      </c>
    </row>
    <row r="252" spans="1:17" s="44" customFormat="1" ht="15" customHeight="1" outlineLevel="1">
      <c r="A252" s="39"/>
      <c r="B252" s="676"/>
      <c r="C252" s="677" t="s">
        <v>28</v>
      </c>
      <c r="D252" s="678"/>
      <c r="E252" s="672">
        <f>ROUND('T1 ENGM'!F31,$D$250)</f>
        <v>211189.96400000001</v>
      </c>
      <c r="F252" s="672">
        <f>ROUND('T1 ENGM'!G31,$D$250)</f>
        <v>207904</v>
      </c>
      <c r="G252" s="672">
        <f>ROUND('T1 ENGM'!H31,$D$250)</f>
        <v>217826.005</v>
      </c>
      <c r="H252" s="672">
        <f>ROUND('T1 ENGM'!I31,$D$250)</f>
        <v>229972.18100000001</v>
      </c>
      <c r="I252" s="672">
        <f>ROUND('T1 ENGM'!J31,$D$250)</f>
        <v>211374.595</v>
      </c>
      <c r="J252" s="672">
        <f>ROUND('T1 ENGM'!K31,$D$250)</f>
        <v>199266.21100000001</v>
      </c>
      <c r="K252" s="672">
        <f>ROUND('T1 ENGM'!L31,$D$250)</f>
        <v>202888.73300000001</v>
      </c>
      <c r="L252" s="672">
        <f>ROUND('T1 ENGM'!M31,$D$250)</f>
        <v>402154.94400000002</v>
      </c>
      <c r="M252" s="672">
        <f>ROUND('T1 ENGM'!N31,$D$250)</f>
        <v>208239.87899999999</v>
      </c>
      <c r="N252" s="672">
        <f>ROUND('T1 ENGM'!O31,$D$250)</f>
        <v>214487.965</v>
      </c>
      <c r="O252" s="672">
        <f>ROUND('T1 ENGM'!P31,$D$250)</f>
        <v>226069.92800000001</v>
      </c>
      <c r="P252" s="51"/>
      <c r="Q252" s="672">
        <f>ROUND('T1 ENGM'!R31,$D$250)</f>
        <v>199266.21100000001</v>
      </c>
    </row>
    <row r="253" spans="1:17" s="38" customFormat="1" ht="15" customHeight="1">
      <c r="A253" s="33" t="s">
        <v>50</v>
      </c>
      <c r="B253" s="673" t="s">
        <v>51</v>
      </c>
      <c r="C253" s="704" t="s">
        <v>52</v>
      </c>
      <c r="D253" s="675">
        <v>3</v>
      </c>
      <c r="E253" s="37" t="b">
        <f>ROUND(('T1 ENGM'!F61-'T1 ENGM'!F29-'T1 ENGM'!F30-'T1 ENGM'!F15-'T1 ENGM'!F16+'T1 ENGM'!F79+'T1 ENGM'!F80)/('T1 ENGM'!F65/100)+'T1 ENGM'!F29+'T1 ENGM'!F30+'T1 ENGM'!F15+'T1 ENGM'!F16-'T1 ENGM'!F79-'T1 ENGM'!F80,$D$253)=ROUND('T1 ENGM'!F66,$D$253)</f>
        <v>1</v>
      </c>
      <c r="F253" s="37" t="b">
        <f>ROUND(('T1 ENGM'!G61-'T1 ENGM'!G29-'T1 ENGM'!G30-'T1 ENGM'!G15-'T1 ENGM'!G16+'T1 ENGM'!G79+'T1 ENGM'!G80)/('T1 ENGM'!G65/100)+'T1 ENGM'!G29+'T1 ENGM'!G30+'T1 ENGM'!G15+'T1 ENGM'!G16-'T1 ENGM'!G79-'T1 ENGM'!G80,$D$253)=ROUND('T1 ENGM'!G66,$D$253)</f>
        <v>1</v>
      </c>
      <c r="G253" s="37" t="b">
        <f>ROUND(('T1 ENGM'!H61-'T1 ENGM'!H29-'T1 ENGM'!H30-'T1 ENGM'!H15-'T1 ENGM'!H16+'T1 ENGM'!H79+'T1 ENGM'!H80)/('T1 ENGM'!H65/100)+'T1 ENGM'!H29+'T1 ENGM'!H30+'T1 ENGM'!H15+'T1 ENGM'!H16-'T1 ENGM'!H79-'T1 ENGM'!H80,$D$253)=ROUND('T1 ENGM'!H66,$D$253)</f>
        <v>1</v>
      </c>
      <c r="H253" s="37" t="b">
        <f>ROUND(('T1 ENGM'!I61-'T1 ENGM'!I29-'T1 ENGM'!I30-'T1 ENGM'!I15-'T1 ENGM'!I16+'T1 ENGM'!I79+'T1 ENGM'!I80)/('T1 ENGM'!I65/100)+'T1 ENGM'!I29+'T1 ENGM'!I30+'T1 ENGM'!I15+'T1 ENGM'!I16-'T1 ENGM'!I79-'T1 ENGM'!I80,$D$253)=ROUND('T1 ENGM'!I66,$D$253)</f>
        <v>1</v>
      </c>
      <c r="I253" s="37" t="b">
        <f>ROUND(('T1 ENGM'!J61-'T1 ENGM'!J29-'T1 ENGM'!J30-'T1 ENGM'!J15-'T1 ENGM'!J16+'T1 ENGM'!J79+'T1 ENGM'!J80)/('T1 ENGM'!J65/100)+'T1 ENGM'!J29+'T1 ENGM'!J30+'T1 ENGM'!J15+'T1 ENGM'!J16-'T1 ENGM'!J79-'T1 ENGM'!J80,$D$253)=ROUND('T1 ENGM'!J66,$D$253)</f>
        <v>1</v>
      </c>
      <c r="J253" s="37" t="b">
        <f>ROUND(('T1 ENGM'!K61-'T1 ENGM'!K29-'T1 ENGM'!K30-'T1 ENGM'!K15-'T1 ENGM'!K16+'T1 ENGM'!K79+'T1 ENGM'!K80)/('T1 ENGM'!K65/100)+'T1 ENGM'!K29+'T1 ENGM'!K30+'T1 ENGM'!K15+'T1 ENGM'!K16-'T1 ENGM'!K79-'T1 ENGM'!K80,$D$253)=ROUND('T1 ENGM'!K66,$D$253)</f>
        <v>1</v>
      </c>
      <c r="K253" s="37" t="b">
        <f>ROUND(('T1 ENGM'!L61-'T1 ENGM'!L29-'T1 ENGM'!L30-'T1 ENGM'!L15-'T1 ENGM'!L16+'T1 ENGM'!L79+'T1 ENGM'!L80)/('T1 ENGM'!L65/100)+'T1 ENGM'!L29+'T1 ENGM'!L30+'T1 ENGM'!L15+'T1 ENGM'!L16-'T1 ENGM'!L79-'T1 ENGM'!L80,$D$253)=ROUND('T1 ENGM'!L66,$D$253)</f>
        <v>1</v>
      </c>
      <c r="L253" s="37" t="b">
        <f>ROUND('T1 ENGM'!K66+'T1 ENGM'!L66,$D$253)=ROUND('T1 ENGM'!M66,$D$253)</f>
        <v>1</v>
      </c>
      <c r="M253" s="37" t="b">
        <f>ROUND(('T1 ENGM'!N61-'T1 ENGM'!N29-'T1 ENGM'!N30-'T1 ENGM'!N15-'T1 ENGM'!N16+'T1 ENGM'!N79+'T1 ENGM'!N80)/('T1 ENGM'!N65/100)+'T1 ENGM'!N29+'T1 ENGM'!N30+'T1 ENGM'!N15+'T1 ENGM'!N16-'T1 ENGM'!N79-'T1 ENGM'!N80,$D$253)=ROUND('T1 ENGM'!N66,$D$253)</f>
        <v>1</v>
      </c>
      <c r="N253" s="37" t="b">
        <f>ROUND(('T1 ENGM'!O61-'T1 ENGM'!O29-'T1 ENGM'!O30-'T1 ENGM'!O15-'T1 ENGM'!O16+'T1 ENGM'!O79+'T1 ENGM'!O80)/('T1 ENGM'!O65/100)+'T1 ENGM'!O29+'T1 ENGM'!O30+'T1 ENGM'!O15+'T1 ENGM'!O16-'T1 ENGM'!O79-'T1 ENGM'!O80,$D$253)=ROUND('T1 ENGM'!O66,$D$253)</f>
        <v>1</v>
      </c>
      <c r="O253" s="37" t="b">
        <f>ROUND(('T1 ENGM'!P61-'T1 ENGM'!P29-'T1 ENGM'!P30-'T1 ENGM'!P15-'T1 ENGM'!P16+'T1 ENGM'!P79+'T1 ENGM'!P80)/('T1 ENGM'!P65/100)+'T1 ENGM'!P29+'T1 ENGM'!P30+'T1 ENGM'!P15+'T1 ENGM'!P16-'T1 ENGM'!P79-'T1 ENGM'!P80,$D$253)=ROUND('T1 ENGM'!P66,$D$253)</f>
        <v>1</v>
      </c>
      <c r="P253" s="51"/>
      <c r="Q253" s="37" t="b">
        <f>ROUND(('T1 ENGM'!R61-'T1 ENGM'!R29-'T1 ENGM'!R30-'T1 ENGM'!R15-'T1 ENGM'!R16+'T1 ENGM'!R79+'T1 ENGM'!R80)/('T1 ENGM'!R65/100)+'T1 ENGM'!R29+'T1 ENGM'!R30+'T1 ENGM'!R15+'T1 ENGM'!R16-'T1 ENGM'!R79-'T1 ENGM'!R80,$D$253)=ROUND('T1 ENGM'!R66,$D$253)</f>
        <v>1</v>
      </c>
    </row>
    <row r="254" spans="1:17" s="44" customFormat="1" ht="15" customHeight="1" outlineLevel="1">
      <c r="A254" s="39"/>
      <c r="B254" s="676"/>
      <c r="C254" s="677" t="s">
        <v>53</v>
      </c>
      <c r="D254" s="678"/>
      <c r="E254" s="672">
        <f>ROUND(('T1 ENGM'!F61-'T1 ENGM'!F29-'T1 ENGM'!F30-'T1 ENGM'!F15-'T1 ENGM'!F16+'T1 ENGM'!F79+'T1 ENGM'!F80)/('T1 ENGM'!F65/100)+'T1 ENGM'!F29+'T1 ENGM'!F30+'T1 ENGM'!F15+'T1 ENGM'!F16-'T1 ENGM'!F79-'T1 ENGM'!F80,$D$253)</f>
        <v>221746.34299999999</v>
      </c>
      <c r="F254" s="672">
        <f>ROUND(('T1 ENGM'!G61-'T1 ENGM'!G29-'T1 ENGM'!G30-'T1 ENGM'!G15-'T1 ENGM'!G16+'T1 ENGM'!G79+'T1 ENGM'!G80)/('T1 ENGM'!G65/100)+'T1 ENGM'!G29+'T1 ENGM'!G30+'T1 ENGM'!G15+'T1 ENGM'!G16-'T1 ENGM'!G79-'T1 ENGM'!G80,$D$253)</f>
        <v>210670.75099999999</v>
      </c>
      <c r="G254" s="672">
        <f>ROUND(('T1 ENGM'!H61-'T1 ENGM'!H29-'T1 ENGM'!H30-'T1 ENGM'!H15-'T1 ENGM'!H16+'T1 ENGM'!H79+'T1 ENGM'!H80)/('T1 ENGM'!H65/100)+'T1 ENGM'!H29+'T1 ENGM'!H30+'T1 ENGM'!H15+'T1 ENGM'!H16-'T1 ENGM'!H79-'T1 ENGM'!H80,$D$253)</f>
        <v>217286.924</v>
      </c>
      <c r="H254" s="672">
        <f>ROUND(('T1 ENGM'!I61-'T1 ENGM'!I29-'T1 ENGM'!I30-'T1 ENGM'!I15-'T1 ENGM'!I16+'T1 ENGM'!I79+'T1 ENGM'!I80)/('T1 ENGM'!I65/100)+'T1 ENGM'!I29+'T1 ENGM'!I30+'T1 ENGM'!I15+'T1 ENGM'!I16-'T1 ENGM'!I79-'T1 ENGM'!I80,$D$253)</f>
        <v>223997.761</v>
      </c>
      <c r="I254" s="672">
        <f>ROUND(('T1 ENGM'!J61-'T1 ENGM'!J29-'T1 ENGM'!J30-'T1 ENGM'!J15-'T1 ENGM'!J16+'T1 ENGM'!J79+'T1 ENGM'!J80)/('T1 ENGM'!J65/100)+'T1 ENGM'!J29+'T1 ENGM'!J30+'T1 ENGM'!J15+'T1 ENGM'!J16-'T1 ENGM'!J79-'T1 ENGM'!J80,$D$253)</f>
        <v>201385.77</v>
      </c>
      <c r="J254" s="672">
        <f>ROUND(('T1 ENGM'!K61-'T1 ENGM'!K29-'T1 ENGM'!K30-'T1 ENGM'!K15-'T1 ENGM'!K16+'T1 ENGM'!K79+'T1 ENGM'!K80)/('T1 ENGM'!K65/100)+'T1 ENGM'!K29+'T1 ENGM'!K30+'T1 ENGM'!K15+'T1 ENGM'!K16-'T1 ENGM'!K79-'T1 ENGM'!K80,$D$253)</f>
        <v>188631.85500000001</v>
      </c>
      <c r="K254" s="672">
        <f>ROUND(('T1 ENGM'!L61-'T1 ENGM'!L29-'T1 ENGM'!L30-'T1 ENGM'!L15-'T1 ENGM'!L16+'T1 ENGM'!L79+'T1 ENGM'!L80)/('T1 ENGM'!L65/100)+'T1 ENGM'!L29+'T1 ENGM'!L30+'T1 ENGM'!L15+'T1 ENGM'!L16-'T1 ENGM'!L79-'T1 ENGM'!L80,$D$253)</f>
        <v>188670.30900000001</v>
      </c>
      <c r="L254" s="672">
        <f>ROUND('T1 ENGM'!K66+'T1 ENGM'!L66,$D$253)</f>
        <v>377302.16399999999</v>
      </c>
      <c r="M254" s="672">
        <f>ROUND(('T1 ENGM'!N61-'T1 ENGM'!N29-'T1 ENGM'!N30-'T1 ENGM'!N15-'T1 ENGM'!N16+'T1 ENGM'!N79+'T1 ENGM'!N80)/('T1 ENGM'!N65/100)+'T1 ENGM'!N29+'T1 ENGM'!N30+'T1 ENGM'!N15+'T1 ENGM'!N16-'T1 ENGM'!N79-'T1 ENGM'!N80,$D$253)</f>
        <v>190407.61600000001</v>
      </c>
      <c r="N254" s="672">
        <f>ROUND(('T1 ENGM'!O61-'T1 ENGM'!O29-'T1 ENGM'!O30-'T1 ENGM'!O15-'T1 ENGM'!O16+'T1 ENGM'!O79+'T1 ENGM'!O80)/('T1 ENGM'!O65/100)+'T1 ENGM'!O29+'T1 ENGM'!O30+'T1 ENGM'!O15+'T1 ENGM'!O16-'T1 ENGM'!O79-'T1 ENGM'!O80,$D$253)</f>
        <v>193170.617</v>
      </c>
      <c r="O254" s="672">
        <f>ROUND(('T1 ENGM'!P61-'T1 ENGM'!P29-'T1 ENGM'!P30-'T1 ENGM'!P15-'T1 ENGM'!P16+'T1 ENGM'!P79+'T1 ENGM'!P80)/('T1 ENGM'!P65/100)+'T1 ENGM'!P29+'T1 ENGM'!P30+'T1 ENGM'!P15+'T1 ENGM'!P16-'T1 ENGM'!P79-'T1 ENGM'!P80,$D$253)</f>
        <v>200834.33</v>
      </c>
      <c r="P254" s="51"/>
      <c r="Q254" s="672">
        <f>ROUND(('T1 ENGM'!R61-'T1 ENGM'!R29-'T1 ENGM'!R30-'T1 ENGM'!R15-'T1 ENGM'!R16+'T1 ENGM'!R79+'T1 ENGM'!R80)/('T1 ENGM'!R65/100)+'T1 ENGM'!R29+'T1 ENGM'!R30+'T1 ENGM'!R15+'T1 ENGM'!R16-'T1 ENGM'!R79-'T1 ENGM'!R80,$D$253)</f>
        <v>188631.85500000001</v>
      </c>
    </row>
    <row r="255" spans="1:17" s="44" customFormat="1" ht="15" customHeight="1" outlineLevel="1">
      <c r="A255" s="39"/>
      <c r="B255" s="676"/>
      <c r="C255" s="677" t="s">
        <v>54</v>
      </c>
      <c r="D255" s="678"/>
      <c r="E255" s="672">
        <f>ROUND('T1 ENGM'!F66,$D$253)</f>
        <v>221746.34299999999</v>
      </c>
      <c r="F255" s="672">
        <f>ROUND('T1 ENGM'!G66,$D$253)</f>
        <v>210670.75099999999</v>
      </c>
      <c r="G255" s="672">
        <f>ROUND('T1 ENGM'!H66,$D$253)</f>
        <v>217286.924</v>
      </c>
      <c r="H255" s="672">
        <f>ROUND('T1 ENGM'!I66,$D$253)</f>
        <v>223997.761</v>
      </c>
      <c r="I255" s="672">
        <f>ROUND('T1 ENGM'!J66,$D$253)</f>
        <v>201385.77</v>
      </c>
      <c r="J255" s="672">
        <f>ROUND('T1 ENGM'!K66,$D$253)</f>
        <v>188631.85500000001</v>
      </c>
      <c r="K255" s="672">
        <f>ROUND('T1 ENGM'!L66,$D$253)</f>
        <v>188670.30900000001</v>
      </c>
      <c r="L255" s="672">
        <f>ROUND('T1 ENGM'!M66,$D$253)</f>
        <v>377302.16399999999</v>
      </c>
      <c r="M255" s="672">
        <f>ROUND('T1 ENGM'!N66,$D$253)</f>
        <v>190407.61600000001</v>
      </c>
      <c r="N255" s="672">
        <f>ROUND('T1 ENGM'!O66,$D$253)</f>
        <v>193170.617</v>
      </c>
      <c r="O255" s="672">
        <f>ROUND('T1 ENGM'!P66,$D$253)</f>
        <v>200834.33</v>
      </c>
      <c r="P255" s="51"/>
      <c r="Q255" s="672">
        <f>ROUND('T1 ENGM'!R66,$D$253)</f>
        <v>188631.85500000001</v>
      </c>
    </row>
    <row r="256" spans="1:17" s="38" customFormat="1" ht="15" customHeight="1">
      <c r="A256" s="33" t="s">
        <v>672</v>
      </c>
      <c r="B256" s="673" t="s">
        <v>51</v>
      </c>
      <c r="C256" s="35" t="s">
        <v>673</v>
      </c>
      <c r="D256" s="675">
        <v>3</v>
      </c>
      <c r="E256" s="1162" t="b">
        <f>IF(ROUND('T1 NSA'!F15+'T1 NSA'!F16,$D$256)&gt;0,ROUND('T1 ENGM'!F79+'T1 ENGM'!F80,$D$256)&gt;0,ROUND('T1 ENGM'!F79+'T1 ENGM'!F80,$D$256)=0)</f>
        <v>1</v>
      </c>
      <c r="F256" s="1162" t="b">
        <f>IF(ROUND('T1 NSA'!G15+'T1 NSA'!G16,$D$256)&gt;0,ROUND('T1 ENGM'!G79+'T1 ENGM'!G80,$D$256)&gt;0,ROUND('T1 ENGM'!G79+'T1 ENGM'!G80,$D$256)=0)</f>
        <v>1</v>
      </c>
      <c r="G256" s="1162" t="b">
        <f>IF(ROUND('T1 NSA'!H15+'T1 NSA'!H16,$D$256)&gt;0,ROUND('T1 ENGM'!H79+'T1 ENGM'!H80,$D$256)&gt;0,ROUND('T1 ENGM'!H79+'T1 ENGM'!H80,$D$256)=0)</f>
        <v>1</v>
      </c>
      <c r="H256" s="1162" t="b">
        <f>IF(ROUND('T1 NSA'!I15+'T1 NSA'!I16,$D$256)&gt;0,ROUND('T1 ENGM'!I79+'T1 ENGM'!I80,$D$256)&gt;0,ROUND('T1 ENGM'!I79+'T1 ENGM'!I80,$D$256)=0)</f>
        <v>1</v>
      </c>
      <c r="I256" s="1162" t="b">
        <f>IF(ROUND('T1 NSA'!J15+'T1 NSA'!J16,$D$256)&gt;0,ROUND('T1 ENGM'!J79+'T1 ENGM'!J80,$D$256)&gt;0,ROUND('T1 ENGM'!J79+'T1 ENGM'!J80,$D$256)=0)</f>
        <v>1</v>
      </c>
      <c r="J256" s="1162" t="b">
        <f>IF(ROUND('T1 NSA'!K15+'T1 NSA'!K16,$D$256)&gt;0,ROUND('T1 ENGM'!K79+'T1 ENGM'!K80,$D$256)&gt;0,ROUND('T1 ENGM'!K79+'T1 ENGM'!K80,$D$256)=0)</f>
        <v>1</v>
      </c>
      <c r="K256" s="1162" t="b">
        <f>IF(ROUND('T1 NSA'!L15+'T1 NSA'!L16,$D$256)&gt;0,ROUND('T1 ENGM'!L79+'T1 ENGM'!L80,$D$256)&gt;0,ROUND('T1 ENGM'!L79+'T1 ENGM'!L80,$D$256)=0)</f>
        <v>1</v>
      </c>
      <c r="L256" s="1162" t="b">
        <f>IF(ROUND('T1 NSA'!M15+'T1 NSA'!M16,$D$256)&gt;0,ROUND('T1 ENGM'!M79+'T1 ENGM'!M80,$D$256)&gt;0,ROUND('T1 ENGM'!M79+'T1 ENGM'!M80,$D$256)=0)</f>
        <v>1</v>
      </c>
      <c r="M256" s="1162" t="b">
        <f>IF(ROUND('T1 NSA'!N15+'T1 NSA'!N16,$D$256)&gt;0,ROUND('T1 ENGM'!N79+'T1 ENGM'!N80,$D$256)&gt;0,ROUND('T1 ENGM'!N79+'T1 ENGM'!N80,$D$256)=0)</f>
        <v>1</v>
      </c>
      <c r="N256" s="1162" t="b">
        <f>IF(ROUND('T1 NSA'!O15+'T1 NSA'!O16,$D$256)&gt;0,ROUND('T1 ENGM'!O79+'T1 ENGM'!O80,$D$256)&gt;0,ROUND('T1 ENGM'!O79+'T1 ENGM'!O80,$D$256)=0)</f>
        <v>1</v>
      </c>
      <c r="O256" s="1162" t="b">
        <f>IF(ROUND('T1 NSA'!P15+'T1 NSA'!P16,$D$256)&gt;0,ROUND('T1 ENGM'!P79+'T1 ENGM'!P80,$D$256)&gt;0,ROUND('T1 ENGM'!P79+'T1 ENGM'!P80,$D$256)=0)</f>
        <v>1</v>
      </c>
      <c r="P256" s="51"/>
      <c r="Q256" s="1162" t="b">
        <f>IF(ROUND('T1 NSA'!R15+'T1 NSA'!R16,$D$256)&gt;0,ROUND('T1 ENGM'!R79+'T1 ENGM'!R80,$D$256)&gt;0,ROUND('T1 ENGM'!R79+'T1 ENGM'!R80,$D$256)=0)</f>
        <v>1</v>
      </c>
    </row>
    <row r="257" spans="1:17" s="44" customFormat="1" ht="15" customHeight="1" outlineLevel="1">
      <c r="A257" s="39"/>
      <c r="B257" s="676"/>
      <c r="C257" s="41" t="s">
        <v>675</v>
      </c>
      <c r="D257" s="678"/>
      <c r="E257" s="672">
        <f>ROUND('T1 NSA'!F15+'T1 NSA'!F16,$D$256)</f>
        <v>0</v>
      </c>
      <c r="F257" s="672">
        <f>ROUND('T1 NSA'!G15+'T1 NSA'!G16,$D$256)</f>
        <v>0</v>
      </c>
      <c r="G257" s="672">
        <f>ROUND('T1 NSA'!H15+'T1 NSA'!H16,$D$256)</f>
        <v>0</v>
      </c>
      <c r="H257" s="672">
        <f>ROUND('T1 NSA'!I15+'T1 NSA'!I16,$D$256)</f>
        <v>0</v>
      </c>
      <c r="I257" s="672">
        <f>ROUND('T1 NSA'!J15+'T1 NSA'!J16,$D$256)</f>
        <v>0</v>
      </c>
      <c r="J257" s="672">
        <f>ROUND('T1 NSA'!K15+'T1 NSA'!K16,$D$256)</f>
        <v>0</v>
      </c>
      <c r="K257" s="672">
        <f>ROUND('T1 NSA'!L15+'T1 NSA'!L16,$D$256)</f>
        <v>0</v>
      </c>
      <c r="L257" s="672">
        <f>ROUND('T1 NSA'!M15+'T1 NSA'!M16,$D$256)</f>
        <v>0</v>
      </c>
      <c r="M257" s="672">
        <f>ROUND('T1 NSA'!N15+'T1 NSA'!N16,$D$256)</f>
        <v>0</v>
      </c>
      <c r="N257" s="672">
        <f>ROUND('T1 NSA'!O15+'T1 NSA'!O16,$D$256)</f>
        <v>0</v>
      </c>
      <c r="O257" s="672">
        <f>ROUND('T1 NSA'!P15+'T1 NSA'!P16,$D$256)</f>
        <v>0</v>
      </c>
      <c r="P257" s="51"/>
      <c r="Q257" s="672">
        <f>ROUND('T1 NSA'!R15+'T1 NSA'!R16,$D$256)</f>
        <v>0</v>
      </c>
    </row>
    <row r="258" spans="1:17" s="44" customFormat="1" ht="15" customHeight="1" outlineLevel="1">
      <c r="A258" s="39"/>
      <c r="B258" s="676"/>
      <c r="C258" s="41" t="s">
        <v>676</v>
      </c>
      <c r="D258" s="678"/>
      <c r="E258" s="672">
        <f>ROUND('T1 ENGM'!F79+'T1 ENGM'!F80,$D$256)</f>
        <v>0</v>
      </c>
      <c r="F258" s="672">
        <f>ROUND('T1 ENGM'!G79+'T1 ENGM'!G80,$D$256)</f>
        <v>0</v>
      </c>
      <c r="G258" s="672">
        <f>ROUND('T1 ENGM'!H79+'T1 ENGM'!H80,$D$256)</f>
        <v>0</v>
      </c>
      <c r="H258" s="672">
        <f>ROUND('T1 ENGM'!I79+'T1 ENGM'!I80,$D$256)</f>
        <v>0</v>
      </c>
      <c r="I258" s="672">
        <f>ROUND('T1 ENGM'!J79+'T1 ENGM'!J80,$D$256)</f>
        <v>0</v>
      </c>
      <c r="J258" s="672">
        <f>ROUND('T1 ENGM'!K79+'T1 ENGM'!K80,$D$256)</f>
        <v>0</v>
      </c>
      <c r="K258" s="672">
        <f>ROUND('T1 ENGM'!L79+'T1 ENGM'!L80,$D$256)</f>
        <v>0</v>
      </c>
      <c r="L258" s="672">
        <f>ROUND('T1 ENGM'!M79+'T1 ENGM'!M80,$D$256)</f>
        <v>0</v>
      </c>
      <c r="M258" s="672">
        <f>ROUND('T1 ENGM'!N79+'T1 ENGM'!N80,$D$256)</f>
        <v>0</v>
      </c>
      <c r="N258" s="672">
        <f>ROUND('T1 ENGM'!O79+'T1 ENGM'!O80,$D$256)</f>
        <v>0</v>
      </c>
      <c r="O258" s="672">
        <f>ROUND('T1 ENGM'!P79+'T1 ENGM'!P80,$D$256)</f>
        <v>0</v>
      </c>
      <c r="P258" s="51"/>
      <c r="Q258" s="672">
        <f>ROUND('T1 ENGM'!R79+'T1 ENGM'!R80,$D$256)</f>
        <v>0</v>
      </c>
    </row>
    <row r="259" spans="1:17" s="38" customFormat="1" ht="15" customHeight="1">
      <c r="A259" s="33" t="s">
        <v>60</v>
      </c>
      <c r="B259" s="673" t="s">
        <v>33</v>
      </c>
      <c r="C259" s="704" t="s">
        <v>643</v>
      </c>
      <c r="D259" s="678"/>
      <c r="E259" s="1087" t="b">
        <f>'T1 ENGM'!F64='T1'!F64</f>
        <v>1</v>
      </c>
      <c r="F259" s="1087" t="b">
        <f>'T1 ENGM'!G64='T1'!G64</f>
        <v>1</v>
      </c>
      <c r="G259" s="1087" t="b">
        <f>'T1 ENGM'!H64='T1'!H64</f>
        <v>1</v>
      </c>
      <c r="H259" s="1087" t="b">
        <f>'T1 ENGM'!I64='T1'!I64</f>
        <v>1</v>
      </c>
      <c r="I259" s="1087" t="b">
        <f>'T1 ENGM'!J64='T1'!J64</f>
        <v>1</v>
      </c>
      <c r="J259" s="1087" t="b">
        <f>'T1 ENGM'!K64='T1'!K64</f>
        <v>1</v>
      </c>
      <c r="K259" s="1087" t="b">
        <f>'T1 ENGM'!L64='T1'!L64</f>
        <v>1</v>
      </c>
      <c r="L259" s="32"/>
      <c r="M259" s="1087" t="b">
        <f>'T1 ENGM'!N64='T1'!N64</f>
        <v>1</v>
      </c>
      <c r="N259" s="1087" t="b">
        <f>'T1 ENGM'!O64='T1'!O64</f>
        <v>1</v>
      </c>
      <c r="O259" s="1087" t="b">
        <f>'T1 ENGM'!P64='T1'!P64</f>
        <v>1</v>
      </c>
      <c r="P259" s="51"/>
      <c r="Q259" s="1087" t="b">
        <f>'T1 ENGM'!R64='T1'!R64</f>
        <v>1</v>
      </c>
    </row>
    <row r="260" spans="1:17" s="44" customFormat="1" ht="15" customHeight="1" outlineLevel="1">
      <c r="A260" s="39"/>
      <c r="B260" s="676"/>
      <c r="C260" s="677" t="s">
        <v>702</v>
      </c>
      <c r="D260" s="678"/>
      <c r="E260" s="1088">
        <f>'T1 ENGM'!F64</f>
        <v>0.02</v>
      </c>
      <c r="F260" s="1088">
        <f>'T1 ENGM'!G64</f>
        <v>3.9E-2</v>
      </c>
      <c r="G260" s="1088">
        <f>'T1 ENGM'!H64</f>
        <v>1.9E-2</v>
      </c>
      <c r="H260" s="1088">
        <f>'T1 ENGM'!I64</f>
        <v>0.03</v>
      </c>
      <c r="I260" s="1088">
        <f>'T1 ENGM'!J64</f>
        <v>2.3E-2</v>
      </c>
      <c r="J260" s="1088">
        <f>'T1 ENGM'!K64</f>
        <v>1.2E-2</v>
      </c>
      <c r="K260" s="1088">
        <f>'T1 ENGM'!L64</f>
        <v>2.1999999999999999E-2</v>
      </c>
      <c r="L260" s="32"/>
      <c r="M260" s="1088">
        <f>'T1 ENGM'!N64</f>
        <v>0.02</v>
      </c>
      <c r="N260" s="1088">
        <f>'T1 ENGM'!O64</f>
        <v>0.02</v>
      </c>
      <c r="O260" s="1088">
        <f>'T1 ENGM'!P64</f>
        <v>0.02</v>
      </c>
      <c r="P260" s="51"/>
      <c r="Q260" s="1088">
        <f>'T1 ENGM'!R64</f>
        <v>1.2E-2</v>
      </c>
    </row>
    <row r="261" spans="1:17" s="44" customFormat="1" ht="15" customHeight="1" outlineLevel="1">
      <c r="A261" s="39"/>
      <c r="B261" s="676"/>
      <c r="C261" s="677" t="s">
        <v>63</v>
      </c>
      <c r="D261" s="678"/>
      <c r="E261" s="47">
        <f>'T1'!F64</f>
        <v>0.02</v>
      </c>
      <c r="F261" s="47">
        <f>'T1'!G64</f>
        <v>3.9E-2</v>
      </c>
      <c r="G261" s="47">
        <f>'T1'!H64</f>
        <v>1.9E-2</v>
      </c>
      <c r="H261" s="47">
        <f>'T1'!I64</f>
        <v>0.03</v>
      </c>
      <c r="I261" s="47">
        <f>'T1'!J64</f>
        <v>2.3E-2</v>
      </c>
      <c r="J261" s="47">
        <f>'T1'!K64</f>
        <v>1.2E-2</v>
      </c>
      <c r="K261" s="47">
        <f>'T1'!L64</f>
        <v>2.1999999999999999E-2</v>
      </c>
      <c r="L261" s="32"/>
      <c r="M261" s="47">
        <f>'T1'!N64</f>
        <v>0.02</v>
      </c>
      <c r="N261" s="47">
        <f>'T1'!O64</f>
        <v>0.02</v>
      </c>
      <c r="O261" s="47">
        <f>'T1'!P64</f>
        <v>0.02</v>
      </c>
      <c r="P261" s="51"/>
      <c r="Q261" s="47">
        <f>'T1'!R64</f>
        <v>1.2E-2</v>
      </c>
    </row>
    <row r="262" spans="1:17" s="38" customFormat="1" ht="15" customHeight="1">
      <c r="A262" s="1089" t="s">
        <v>64</v>
      </c>
      <c r="B262" s="673" t="s">
        <v>37</v>
      </c>
      <c r="C262" s="704" t="s">
        <v>644</v>
      </c>
      <c r="D262" s="678"/>
      <c r="E262" s="1087" t="b">
        <f>'T1 ENGM'!F65='T1'!F65</f>
        <v>1</v>
      </c>
      <c r="F262" s="1087" t="b">
        <f>'T1 ENGM'!G65='T1'!G65</f>
        <v>1</v>
      </c>
      <c r="G262" s="1087" t="b">
        <f>'T1 ENGM'!H65='T1'!H65</f>
        <v>1</v>
      </c>
      <c r="H262" s="1087" t="b">
        <f>'T1 ENGM'!I65='T1'!I65</f>
        <v>1</v>
      </c>
      <c r="I262" s="1087" t="b">
        <f>'T1 ENGM'!J65='T1'!J65</f>
        <v>1</v>
      </c>
      <c r="J262" s="1087" t="b">
        <f>'T1 ENGM'!K65='T1'!K65</f>
        <v>1</v>
      </c>
      <c r="K262" s="1087" t="b">
        <f>'T1 ENGM'!L65='T1'!L65</f>
        <v>1</v>
      </c>
      <c r="L262" s="32"/>
      <c r="M262" s="1087" t="b">
        <f>'T1 ENGM'!N65='T1'!N65</f>
        <v>1</v>
      </c>
      <c r="N262" s="1087" t="b">
        <f>'T1 ENGM'!O65='T1'!O65</f>
        <v>1</v>
      </c>
      <c r="O262" s="1087" t="b">
        <f>'T1 ENGM'!P65='T1'!P65</f>
        <v>1</v>
      </c>
      <c r="P262" s="51"/>
      <c r="Q262" s="1087" t="b">
        <f>'T1 ENGM'!R65='T1'!R65</f>
        <v>1</v>
      </c>
    </row>
    <row r="263" spans="1:17" s="44" customFormat="1" ht="15" customHeight="1" outlineLevel="1">
      <c r="A263" s="39"/>
      <c r="B263" s="676"/>
      <c r="C263" s="677" t="s">
        <v>703</v>
      </c>
      <c r="D263" s="678"/>
      <c r="E263" s="1090">
        <f>'T1 ENGM'!F65</f>
        <v>94.45180643802405</v>
      </c>
      <c r="F263" s="1090">
        <f>'T1 ENGM'!G65</f>
        <v>98.135426889106981</v>
      </c>
      <c r="G263" s="1090">
        <f>'T1 ENGM'!H65</f>
        <v>100</v>
      </c>
      <c r="H263" s="1090">
        <f>'T1 ENGM'!I65</f>
        <v>103</v>
      </c>
      <c r="I263" s="1090">
        <f>'T1 ENGM'!J65</f>
        <v>105.36899999999999</v>
      </c>
      <c r="J263" s="1090">
        <f>'T1 ENGM'!K65</f>
        <v>106.63342799999998</v>
      </c>
      <c r="K263" s="1090">
        <f>'T1 ENGM'!L65</f>
        <v>108.97936341599998</v>
      </c>
      <c r="L263" s="32"/>
      <c r="M263" s="1090">
        <f>'T1 ENGM'!N65</f>
        <v>111.15895068431999</v>
      </c>
      <c r="N263" s="1090">
        <f>'T1 ENGM'!O65</f>
        <v>113.38212969800639</v>
      </c>
      <c r="O263" s="1090">
        <f>'T1 ENGM'!P65</f>
        <v>115.64977229196653</v>
      </c>
      <c r="P263" s="51"/>
      <c r="Q263" s="1090">
        <f>'T1 ENGM'!R65</f>
        <v>106.63342799999998</v>
      </c>
    </row>
    <row r="264" spans="1:17" s="44" customFormat="1" ht="15" customHeight="1" outlineLevel="1">
      <c r="A264" s="39"/>
      <c r="B264" s="676"/>
      <c r="C264" s="677" t="s">
        <v>645</v>
      </c>
      <c r="D264" s="678"/>
      <c r="E264" s="1090">
        <f>'T1'!F65</f>
        <v>94.45180643802405</v>
      </c>
      <c r="F264" s="1090">
        <f>'T1'!G65</f>
        <v>98.135426889106981</v>
      </c>
      <c r="G264" s="1090">
        <f>'T1'!H65</f>
        <v>100</v>
      </c>
      <c r="H264" s="1090">
        <f>'T1'!I65</f>
        <v>103</v>
      </c>
      <c r="I264" s="1090">
        <f>'T1'!J65</f>
        <v>105.36899999999999</v>
      </c>
      <c r="J264" s="1090">
        <f>'T1'!K65</f>
        <v>106.63342799999998</v>
      </c>
      <c r="K264" s="1090">
        <f>'T1'!L65</f>
        <v>108.97936341599998</v>
      </c>
      <c r="L264" s="32"/>
      <c r="M264" s="1090">
        <f>'T1'!N65</f>
        <v>111.15895068431999</v>
      </c>
      <c r="N264" s="1090">
        <f>'T1'!O65</f>
        <v>113.38212969800639</v>
      </c>
      <c r="O264" s="1090">
        <f>'T1'!P65</f>
        <v>115.64977229196653</v>
      </c>
      <c r="P264" s="51"/>
      <c r="Q264" s="1090">
        <f>'T1'!R65</f>
        <v>106.63342799999998</v>
      </c>
    </row>
    <row r="265" spans="1:17" s="38" customFormat="1" ht="15" customHeight="1">
      <c r="A265" s="33" t="s">
        <v>68</v>
      </c>
      <c r="B265" s="673" t="s">
        <v>69</v>
      </c>
      <c r="C265" s="59" t="s">
        <v>70</v>
      </c>
      <c r="D265" s="675">
        <v>3</v>
      </c>
      <c r="E265" s="37" t="b">
        <f>IF('T1 ENGM'!F39&gt;0,ROUND('T1 ENGM'!F41,$D$265)=ROUND('T1 ENGM'!F16/'T1 ENGM'!F39,$D$265),"N/A")</f>
        <v>1</v>
      </c>
      <c r="F265" s="37" t="b">
        <f>IF('T1 ENGM'!G39&gt;0,ROUND('T1 ENGM'!G41,$D$265)=ROUND('T1 ENGM'!G16/'T1 ENGM'!G39,$D$265),"N/A")</f>
        <v>1</v>
      </c>
      <c r="G265" s="37" t="b">
        <f>IF('T1 ENGM'!H39&gt;0,ROUND('T1 ENGM'!H41,$D$265)=ROUND('T1 ENGM'!H16/'T1 ENGM'!H39,$D$265),"N/A")</f>
        <v>1</v>
      </c>
      <c r="H265" s="37" t="b">
        <f>IF('T1 ENGM'!I39&gt;0,ROUND('T1 ENGM'!I41,$D$265)=ROUND('T1 ENGM'!I16/'T1 ENGM'!I39,$D$265),"N/A")</f>
        <v>1</v>
      </c>
      <c r="I265" s="37" t="b">
        <f>IF('T1 ENGM'!J39&gt;0,ROUND('T1 ENGM'!J41,$D$265)=ROUND('T1 ENGM'!J16/'T1 ENGM'!J39,$D$265),"N/A")</f>
        <v>1</v>
      </c>
      <c r="J265" s="37" t="b">
        <f>IF('T1 ENGM'!K39&gt;0,ROUND('T1 ENGM'!K41,$D$265)=ROUND('T1 ENGM'!K16/'T1 ENGM'!K39,$D$265),"N/A")</f>
        <v>1</v>
      </c>
      <c r="K265" s="37" t="b">
        <f>IF('T1 ENGM'!L39&gt;0,ROUND('T1 ENGM'!L41,$D$265)=ROUND('T1 ENGM'!L16/'T1 ENGM'!L39,$D$265),"N/A")</f>
        <v>1</v>
      </c>
      <c r="L265" s="32"/>
      <c r="M265" s="37" t="b">
        <f>IF('T1 ENGM'!N39&gt;0,ROUND('T1 ENGM'!N41,$D$265)=ROUND('T1 ENGM'!N16/'T1 ENGM'!N39,$D$265),"N/A")</f>
        <v>1</v>
      </c>
      <c r="N265" s="37" t="b">
        <f>IF('T1 ENGM'!O39&gt;0,ROUND('T1 ENGM'!O41,$D$265)=ROUND('T1 ENGM'!O16/'T1 ENGM'!O39,$D$265),"N/A")</f>
        <v>1</v>
      </c>
      <c r="O265" s="37" t="b">
        <f>IF('T1 ENGM'!P39&gt;0,ROUND('T1 ENGM'!P41,$D$265)=ROUND('T1 ENGM'!P16/'T1 ENGM'!P39,$D$265),"N/A")</f>
        <v>1</v>
      </c>
      <c r="P265" s="51"/>
      <c r="Q265" s="37" t="b">
        <f>IF('T1 ENGM'!R39&gt;0,ROUND('T1 ENGM'!R41,$D$265)=ROUND('T1 ENGM'!R16/'T1 ENGM'!R39,$D$265),"N/A")</f>
        <v>1</v>
      </c>
    </row>
    <row r="266" spans="1:17" s="44" customFormat="1" ht="15" customHeight="1" outlineLevel="1">
      <c r="A266" s="39"/>
      <c r="B266" s="676"/>
      <c r="C266" s="1091" t="s">
        <v>646</v>
      </c>
      <c r="D266" s="678"/>
      <c r="E266" s="60">
        <f>IF('T1 ENGM'!F39&gt;0,ROUND('T1 ENGM'!F41,$D$265),"N/A")</f>
        <v>7.5999999999999998E-2</v>
      </c>
      <c r="F266" s="60">
        <f>IF('T1 ENGM'!G39&gt;0,ROUND('T1 ENGM'!G41,$D$265),"N/A")</f>
        <v>7.5999999999999998E-2</v>
      </c>
      <c r="G266" s="60">
        <f>IF('T1 ENGM'!H39&gt;0,ROUND('T1 ENGM'!H41,$D$265),"N/A")</f>
        <v>7.5999999999999998E-2</v>
      </c>
      <c r="H266" s="60">
        <f>IF('T1 ENGM'!I39&gt;0,ROUND('T1 ENGM'!I41,$D$265),"N/A")</f>
        <v>7.5999999999999998E-2</v>
      </c>
      <c r="I266" s="60">
        <f>IF('T1 ENGM'!J39&gt;0,ROUND('T1 ENGM'!J41,$D$265),"N/A")</f>
        <v>7.5999999999999998E-2</v>
      </c>
      <c r="J266" s="60">
        <f>IF('T1 ENGM'!K39&gt;0,ROUND('T1 ENGM'!K41,$D$265),"N/A")</f>
        <v>5.8999999999999997E-2</v>
      </c>
      <c r="K266" s="60">
        <f>IF('T1 ENGM'!L39&gt;0,ROUND('T1 ENGM'!L41,$D$265),"N/A")</f>
        <v>5.8999999999999997E-2</v>
      </c>
      <c r="L266" s="32"/>
      <c r="M266" s="60">
        <f>IF('T1 ENGM'!N39&gt;0,ROUND('T1 ENGM'!N41,$D$265),"N/A")</f>
        <v>5.8999999999999997E-2</v>
      </c>
      <c r="N266" s="60">
        <f>IF('T1 ENGM'!O39&gt;0,ROUND('T1 ENGM'!O41,$D$265),"N/A")</f>
        <v>5.8999999999999997E-2</v>
      </c>
      <c r="O266" s="60">
        <f>IF('T1 ENGM'!P39&gt;0,ROUND('T1 ENGM'!P41,$D$265),"N/A")</f>
        <v>5.8999999999999997E-2</v>
      </c>
      <c r="P266" s="51"/>
      <c r="Q266" s="60">
        <f>IF('T1 ENGM'!R39&gt;0,ROUND('T1 ENGM'!R41,$D$265),"N/A")</f>
        <v>5.8999999999999997E-2</v>
      </c>
    </row>
    <row r="267" spans="1:17" s="44" customFormat="1" ht="15" customHeight="1" outlineLevel="1">
      <c r="A267" s="39"/>
      <c r="B267" s="676"/>
      <c r="C267" s="1091" t="s">
        <v>647</v>
      </c>
      <c r="D267" s="678"/>
      <c r="E267" s="60">
        <f>IF('T1 ENGM'!F39&gt;0,ROUND('T1 ENGM'!F16/'T1 ENGM'!F39,$D$265),"N/A")</f>
        <v>7.5999999999999998E-2</v>
      </c>
      <c r="F267" s="60">
        <f>IF('T1 ENGM'!G39&gt;0,ROUND('T1 ENGM'!G16/'T1 ENGM'!G39,$D$265),"N/A")</f>
        <v>7.5999999999999998E-2</v>
      </c>
      <c r="G267" s="60">
        <f>IF('T1 ENGM'!H39&gt;0,ROUND('T1 ENGM'!H16/'T1 ENGM'!H39,$D$265),"N/A")</f>
        <v>7.5999999999999998E-2</v>
      </c>
      <c r="H267" s="60">
        <f>IF('T1 ENGM'!I39&gt;0,ROUND('T1 ENGM'!I16/'T1 ENGM'!I39,$D$265),"N/A")</f>
        <v>7.5999999999999998E-2</v>
      </c>
      <c r="I267" s="60">
        <f>IF('T1 ENGM'!J39&gt;0,ROUND('T1 ENGM'!J16/'T1 ENGM'!J39,$D$265),"N/A")</f>
        <v>7.5999999999999998E-2</v>
      </c>
      <c r="J267" s="60">
        <f>IF('T1 ENGM'!K39&gt;0,ROUND('T1 ENGM'!K16/'T1 ENGM'!K39,$D$265),"N/A")</f>
        <v>5.8999999999999997E-2</v>
      </c>
      <c r="K267" s="60">
        <f>IF('T1 ENGM'!L39&gt;0,ROUND('T1 ENGM'!L16/'T1 ENGM'!L39,$D$265),"N/A")</f>
        <v>5.8999999999999997E-2</v>
      </c>
      <c r="L267" s="32"/>
      <c r="M267" s="60">
        <f>IF('T1 ENGM'!N39&gt;0,ROUND('T1 ENGM'!N16/'T1 ENGM'!N39,$D$265),"N/A")</f>
        <v>5.8999999999999997E-2</v>
      </c>
      <c r="N267" s="60">
        <f>IF('T1 ENGM'!O39&gt;0,ROUND('T1 ENGM'!O16/'T1 ENGM'!O39,$D$265),"N/A")</f>
        <v>5.8999999999999997E-2</v>
      </c>
      <c r="O267" s="60">
        <f>IF('T1 ENGM'!P39&gt;0,ROUND('T1 ENGM'!P16/'T1 ENGM'!P39,$D$265),"N/A")</f>
        <v>5.8999999999999997E-2</v>
      </c>
      <c r="P267" s="51"/>
      <c r="Q267" s="60">
        <f>IF('T1 ENGM'!R39&gt;0,ROUND('T1 ENGM'!R16/'T1 ENGM'!R39,$D$265),"N/A")</f>
        <v>5.8999999999999997E-2</v>
      </c>
    </row>
    <row r="268" spans="1:17" s="38" customFormat="1" ht="15" customHeight="1">
      <c r="A268" s="33" t="s">
        <v>78</v>
      </c>
      <c r="B268" s="673" t="s">
        <v>79</v>
      </c>
      <c r="C268" s="704" t="s">
        <v>80</v>
      </c>
      <c r="D268" s="675">
        <v>3</v>
      </c>
      <c r="E268" s="37" t="b">
        <f>ROUND(SUM('T1 ENGM'!F36:F38),$D$268)=ROUND('T1 ENGM'!F39,$D$268)</f>
        <v>1</v>
      </c>
      <c r="F268" s="37" t="b">
        <f>ROUND(SUM('T1 ENGM'!G36:G38),$D$268)=ROUND('T1 ENGM'!G39,$D$268)</f>
        <v>1</v>
      </c>
      <c r="G268" s="37" t="b">
        <f>ROUND(SUM('T1 ENGM'!H36:H38),$D$268)=ROUND('T1 ENGM'!H39,$D$268)</f>
        <v>1</v>
      </c>
      <c r="H268" s="37" t="b">
        <f>ROUND(SUM('T1 ENGM'!I36:I38),$D$268)=ROUND('T1 ENGM'!I39,$D$268)</f>
        <v>1</v>
      </c>
      <c r="I268" s="37" t="b">
        <f>ROUND(SUM('T1 ENGM'!J36:J38),$D$268)=ROUND('T1 ENGM'!J39,$D$268)</f>
        <v>1</v>
      </c>
      <c r="J268" s="37" t="b">
        <f>ROUND(SUM('T1 ENGM'!K36:K38),$D$268)=ROUND('T1 ENGM'!K39,$D$268)</f>
        <v>1</v>
      </c>
      <c r="K268" s="37" t="b">
        <f>ROUND(SUM('T1 ENGM'!L36:L38),$D$268)=ROUND('T1 ENGM'!L39,$D$268)</f>
        <v>1</v>
      </c>
      <c r="L268" s="32"/>
      <c r="M268" s="37" t="b">
        <f>ROUND(SUM('T1 ENGM'!N36:N38),$D$268)=ROUND('T1 ENGM'!N39,$D$268)</f>
        <v>1</v>
      </c>
      <c r="N268" s="37" t="b">
        <f>ROUND(SUM('T1 ENGM'!O36:O38),$D$268)=ROUND('T1 ENGM'!O39,$D$268)</f>
        <v>1</v>
      </c>
      <c r="O268" s="37" t="b">
        <f>ROUND(SUM('T1 ENGM'!P36:P38),$D$268)=ROUND('T1 ENGM'!P39,$D$268)</f>
        <v>1</v>
      </c>
      <c r="P268" s="51"/>
      <c r="Q268" s="37" t="b">
        <f>ROUND(SUM('T1 ENGM'!R36:R38),$D$268)=ROUND('T1 ENGM'!R39,$D$268)</f>
        <v>1</v>
      </c>
    </row>
    <row r="269" spans="1:17" s="44" customFormat="1" ht="15" customHeight="1" outlineLevel="1">
      <c r="A269" s="39"/>
      <c r="B269" s="676"/>
      <c r="C269" s="677" t="s">
        <v>81</v>
      </c>
      <c r="D269" s="678"/>
      <c r="E269" s="672">
        <f>ROUND(SUM('T1 ENGM'!F36:F38),$D$268)</f>
        <v>119079.731</v>
      </c>
      <c r="F269" s="672">
        <f>ROUND(SUM('T1 ENGM'!G36:G38),$D$268)</f>
        <v>177526</v>
      </c>
      <c r="G269" s="672">
        <f>ROUND(SUM('T1 ENGM'!H36:H38),$D$268)</f>
        <v>215303.94699999999</v>
      </c>
      <c r="H269" s="672">
        <f>ROUND(SUM('T1 ENGM'!I36:I38),$D$268)</f>
        <v>222028.28899999999</v>
      </c>
      <c r="I269" s="672">
        <f>ROUND(SUM('T1 ENGM'!J36:J38),$D$268)</f>
        <v>163520.92499999999</v>
      </c>
      <c r="J269" s="672">
        <f>ROUND(SUM('T1 ENGM'!K36:K38),$D$268)</f>
        <v>270108.46399999998</v>
      </c>
      <c r="K269" s="672">
        <f>ROUND(SUM('T1 ENGM'!L36:L38),$D$268)</f>
        <v>279207.32199999999</v>
      </c>
      <c r="L269" s="32"/>
      <c r="M269" s="672">
        <f>ROUND(SUM('T1 ENGM'!N36:N38),$D$268)</f>
        <v>276236.17599999998</v>
      </c>
      <c r="N269" s="672">
        <f>ROUND(SUM('T1 ENGM'!O36:O38),$D$268)</f>
        <v>331251.33600000001</v>
      </c>
      <c r="O269" s="672">
        <f>ROUND(SUM('T1 ENGM'!P36:P38),$D$268)</f>
        <v>423091.67499999999</v>
      </c>
      <c r="P269" s="51"/>
      <c r="Q269" s="672">
        <f>ROUND(SUM('T1 ENGM'!R36:R38),$D$268)</f>
        <v>270108.46399999998</v>
      </c>
    </row>
    <row r="270" spans="1:17" s="44" customFormat="1" ht="15" customHeight="1" outlineLevel="1">
      <c r="A270" s="39"/>
      <c r="B270" s="676"/>
      <c r="C270" s="677" t="s">
        <v>82</v>
      </c>
      <c r="D270" s="678"/>
      <c r="E270" s="672">
        <f>ROUND('T1 ENGM'!F39,$D$268)</f>
        <v>119079.731</v>
      </c>
      <c r="F270" s="672">
        <f>ROUND('T1 ENGM'!G39,$D$268)</f>
        <v>177526</v>
      </c>
      <c r="G270" s="672">
        <f>ROUND('T1 ENGM'!H39,$D$268)</f>
        <v>215303.94699999999</v>
      </c>
      <c r="H270" s="672">
        <f>ROUND('T1 ENGM'!I39,$D$268)</f>
        <v>222028.28899999999</v>
      </c>
      <c r="I270" s="672">
        <f>ROUND('T1 ENGM'!J39,$D$268)</f>
        <v>163520.92499999999</v>
      </c>
      <c r="J270" s="672">
        <f>ROUND('T1 ENGM'!K39,$D$268)</f>
        <v>270108.46399999998</v>
      </c>
      <c r="K270" s="672">
        <f>ROUND('T1 ENGM'!L39,$D$268)</f>
        <v>279207.32199999999</v>
      </c>
      <c r="L270" s="32"/>
      <c r="M270" s="672">
        <f>ROUND('T1 ENGM'!N39,$D$268)</f>
        <v>276236.17599999998</v>
      </c>
      <c r="N270" s="672">
        <f>ROUND('T1 ENGM'!O39,$D$268)</f>
        <v>331251.33600000001</v>
      </c>
      <c r="O270" s="672">
        <f>ROUND('T1 ENGM'!P39,$D$268)</f>
        <v>423091.67499999999</v>
      </c>
      <c r="P270" s="51"/>
      <c r="Q270" s="672">
        <f>ROUND('T1 ENGM'!R39,$D$268)</f>
        <v>270108.46399999998</v>
      </c>
    </row>
    <row r="271" spans="1:17" s="38" customFormat="1" ht="15" customHeight="1">
      <c r="A271" s="33" t="s">
        <v>83</v>
      </c>
      <c r="B271" s="673" t="s">
        <v>79</v>
      </c>
      <c r="C271" s="674" t="s">
        <v>84</v>
      </c>
      <c r="D271" s="675">
        <v>3</v>
      </c>
      <c r="E271" s="37" t="b">
        <f>IF(ROUND('T1 ENGM'!F39,$D$271)=0,ROUND('T1 ENGM'!F16,$D$271)=0,TRUE)</f>
        <v>1</v>
      </c>
      <c r="F271" s="37" t="b">
        <f>IF(ROUND('T1 ENGM'!G39,$D$271)=0,ROUND('T1 ENGM'!G16,$D$271)=0,TRUE)</f>
        <v>1</v>
      </c>
      <c r="G271" s="37" t="b">
        <f>IF(ROUND('T1 ENGM'!H39,$D$271)=0,ROUND('T1 ENGM'!H16,$D$271)=0,TRUE)</f>
        <v>1</v>
      </c>
      <c r="H271" s="37" t="b">
        <f>IF(ROUND('T1 ENGM'!I39,$D$271)=0,ROUND('T1 ENGM'!I16,$D$271)=0,TRUE)</f>
        <v>1</v>
      </c>
      <c r="I271" s="37" t="b">
        <f>IF(ROUND('T1 ENGM'!J39,$D$271)=0,ROUND('T1 ENGM'!J16,$D$271)=0,TRUE)</f>
        <v>1</v>
      </c>
      <c r="J271" s="37" t="b">
        <f>IF(ROUND('T1 ENGM'!K39,$D$271)=0,ROUND('T1 ENGM'!K16,$D$271)=0,TRUE)</f>
        <v>1</v>
      </c>
      <c r="K271" s="37" t="b">
        <f>IF(ROUND('T1 ENGM'!L39,$D$271)=0,ROUND('T1 ENGM'!L16,$D$271)=0,TRUE)</f>
        <v>1</v>
      </c>
      <c r="L271" s="32"/>
      <c r="M271" s="37" t="b">
        <f>IF(ROUND('T1 ENGM'!N39,$D$271)=0,ROUND('T1 ENGM'!N16,$D$271)=0,TRUE)</f>
        <v>1</v>
      </c>
      <c r="N271" s="37" t="b">
        <f>IF(ROUND('T1 ENGM'!O39,$D$271)=0,ROUND('T1 ENGM'!O16,$D$271)=0,TRUE)</f>
        <v>1</v>
      </c>
      <c r="O271" s="37" t="b">
        <f>IF(ROUND('T1 ENGM'!P39,$D$271)=0,ROUND('T1 ENGM'!P16,$D$271)=0,TRUE)</f>
        <v>1</v>
      </c>
      <c r="P271" s="51"/>
      <c r="Q271" s="37" t="b">
        <f>IF(ROUND('T1 ENGM'!R39,$D$271)=0,ROUND('T1 ENGM'!R16,$D$271)=0,TRUE)</f>
        <v>1</v>
      </c>
    </row>
    <row r="272" spans="1:17" s="44" customFormat="1" ht="15" customHeight="1" outlineLevel="1">
      <c r="A272" s="39"/>
      <c r="B272" s="676"/>
      <c r="C272" s="677" t="s">
        <v>82</v>
      </c>
      <c r="D272" s="678"/>
      <c r="E272" s="672">
        <f>ROUND('T1 ENGM'!F39,$D$271)</f>
        <v>119079.731</v>
      </c>
      <c r="F272" s="672">
        <f>ROUND('T1 ENGM'!G39,$D$271)</f>
        <v>177526</v>
      </c>
      <c r="G272" s="672">
        <f>ROUND('T1 ENGM'!H39,$D$271)</f>
        <v>215303.94699999999</v>
      </c>
      <c r="H272" s="672">
        <f>ROUND('T1 ENGM'!I39,$D$271)</f>
        <v>222028.28899999999</v>
      </c>
      <c r="I272" s="672">
        <f>ROUND('T1 ENGM'!J39,$D$271)</f>
        <v>163520.92499999999</v>
      </c>
      <c r="J272" s="672">
        <f>ROUND('T1 ENGM'!K39,$D$271)</f>
        <v>270108.46399999998</v>
      </c>
      <c r="K272" s="672">
        <f>ROUND('T1 ENGM'!L39,$D$271)</f>
        <v>279207.32199999999</v>
      </c>
      <c r="L272" s="32"/>
      <c r="M272" s="672">
        <f>ROUND('T1 ENGM'!N39,$D$271)</f>
        <v>276236.17599999998</v>
      </c>
      <c r="N272" s="672">
        <f>ROUND('T1 ENGM'!O39,$D$271)</f>
        <v>331251.33600000001</v>
      </c>
      <c r="O272" s="672">
        <f>ROUND('T1 ENGM'!P39,$D$271)</f>
        <v>423091.67499999999</v>
      </c>
      <c r="P272" s="51"/>
      <c r="Q272" s="672">
        <f>ROUND('T1 ENGM'!R39,$D$271)</f>
        <v>270108.46399999998</v>
      </c>
    </row>
    <row r="273" spans="1:17" s="44" customFormat="1" ht="15" customHeight="1" outlineLevel="1">
      <c r="A273" s="39"/>
      <c r="B273" s="676"/>
      <c r="C273" s="677" t="s">
        <v>85</v>
      </c>
      <c r="D273" s="678"/>
      <c r="E273" s="672">
        <f>ROUND('T1 ENGM'!F16,$D$271)</f>
        <v>9050.06</v>
      </c>
      <c r="F273" s="672">
        <f>ROUND('T1 ENGM'!G16,$D$271)</f>
        <v>13492</v>
      </c>
      <c r="G273" s="672">
        <f>ROUND('T1 ENGM'!H16,$D$271)</f>
        <v>16363.995999999999</v>
      </c>
      <c r="H273" s="672">
        <f>ROUND('T1 ENGM'!I16,$D$271)</f>
        <v>16874.150000000001</v>
      </c>
      <c r="I273" s="672">
        <f>ROUND('T1 ENGM'!J16,$D$271)</f>
        <v>12427.59</v>
      </c>
      <c r="J273" s="672">
        <f>ROUND('T1 ENGM'!K16,$D$271)</f>
        <v>15801.344999999999</v>
      </c>
      <c r="K273" s="672">
        <f>ROUND('T1 ENGM'!L16,$D$271)</f>
        <v>16333.628000000001</v>
      </c>
      <c r="L273" s="32"/>
      <c r="M273" s="672">
        <f>ROUND('T1 ENGM'!N16,$D$271)</f>
        <v>16159.816000000001</v>
      </c>
      <c r="N273" s="672">
        <f>ROUND('T1 ENGM'!O16,$D$271)</f>
        <v>19378.203000000001</v>
      </c>
      <c r="O273" s="672">
        <f>ROUND('T1 ENGM'!P16,$D$271)</f>
        <v>24750.863000000001</v>
      </c>
      <c r="P273" s="51"/>
      <c r="Q273" s="672">
        <f>ROUND('T1 ENGM'!R16,$D$271)</f>
        <v>15801.344999999999</v>
      </c>
    </row>
    <row r="274" spans="1:17" s="51" customFormat="1" ht="20.100000000000001" customHeight="1">
      <c r="A274" s="27" t="s">
        <v>13</v>
      </c>
      <c r="B274" s="28" t="s">
        <v>14</v>
      </c>
      <c r="C274" s="29" t="s">
        <v>704</v>
      </c>
      <c r="D274" s="49"/>
      <c r="E274" s="50"/>
      <c r="F274" s="50"/>
      <c r="G274" s="50"/>
      <c r="H274" s="50"/>
      <c r="I274" s="50"/>
      <c r="J274" s="50"/>
      <c r="K274" s="50"/>
      <c r="L274" s="50"/>
      <c r="M274" s="50"/>
      <c r="N274" s="50"/>
      <c r="O274" s="50"/>
      <c r="Q274" s="50"/>
    </row>
    <row r="275" spans="1:17" s="38" customFormat="1" ht="15" customHeight="1">
      <c r="A275" s="33" t="s">
        <v>20</v>
      </c>
      <c r="B275" s="673" t="s">
        <v>21</v>
      </c>
      <c r="C275" s="704" t="s">
        <v>86</v>
      </c>
      <c r="D275" s="675">
        <v>3</v>
      </c>
      <c r="E275" s="37" t="b">
        <f>ROUND('T1 ENZV'!F18,$D$275)=ROUND(SUM('T1 ENZV'!F12,'T1 ENZV'!F14:F17),$D$275)</f>
        <v>1</v>
      </c>
      <c r="F275" s="37" t="b">
        <f>ROUND('T1 ENZV'!G18,$D$275)=ROUND(SUM('T1 ENZV'!G12,'T1 ENZV'!G14:G17),$D$275)</f>
        <v>1</v>
      </c>
      <c r="G275" s="37" t="b">
        <f>ROUND('T1 ENZV'!H18,$D$275)=ROUND(SUM('T1 ENZV'!H12,'T1 ENZV'!H14:H17),$D$275)</f>
        <v>1</v>
      </c>
      <c r="H275" s="37" t="b">
        <f>ROUND('T1 ENZV'!I18,$D$275)=ROUND(SUM('T1 ENZV'!I12,'T1 ENZV'!I14:I17),$D$275)</f>
        <v>1</v>
      </c>
      <c r="I275" s="37" t="b">
        <f>ROUND('T1 ENZV'!J18,$D$275)=ROUND(SUM('T1 ENZV'!J12,'T1 ENZV'!J14:J17),$D$275)</f>
        <v>1</v>
      </c>
      <c r="J275" s="37" t="b">
        <f>ROUND('T1 ENZV'!K18,$D$275)=ROUND(SUM('T1 ENZV'!K12,'T1 ENZV'!K14:K17),$D$275)</f>
        <v>1</v>
      </c>
      <c r="K275" s="37" t="b">
        <f>ROUND('T1 ENZV'!L18,$D$275)=ROUND(SUM('T1 ENZV'!L12,'T1 ENZV'!L14:L17),$D$275)</f>
        <v>1</v>
      </c>
      <c r="L275" s="37" t="b">
        <f>ROUND('T1 ENZV'!M18,$D$275)=ROUND(SUM('T1 ENZV'!M12,'T1 ENZV'!M14:M17),$D$275)</f>
        <v>1</v>
      </c>
      <c r="M275" s="37" t="b">
        <f>ROUND('T1 ENZV'!N18,$D$275)=ROUND(SUM('T1 ENZV'!N12,'T1 ENZV'!N14:N17),$D$275)</f>
        <v>1</v>
      </c>
      <c r="N275" s="37" t="b">
        <f>ROUND('T1 ENZV'!O18,$D$275)=ROUND(SUM('T1 ENZV'!O12,'T1 ENZV'!O14:O17),$D$275)</f>
        <v>1</v>
      </c>
      <c r="O275" s="37" t="b">
        <f>ROUND('T1 ENZV'!P18,$D$275)=ROUND(SUM('T1 ENZV'!P12,'T1 ENZV'!P14:P17),$D$275)</f>
        <v>1</v>
      </c>
      <c r="P275" s="51"/>
      <c r="Q275" s="37" t="b">
        <f>ROUND('T1 ENZV'!R18,$D$275)=ROUND(SUM('T1 ENZV'!R12,'T1 ENZV'!R14:R17),$D$275)</f>
        <v>1</v>
      </c>
    </row>
    <row r="276" spans="1:17" s="44" customFormat="1" ht="15" customHeight="1" outlineLevel="1">
      <c r="A276" s="39"/>
      <c r="B276" s="676"/>
      <c r="C276" s="677" t="s">
        <v>23</v>
      </c>
      <c r="D276" s="678"/>
      <c r="E276" s="672">
        <f>ROUND('T1 ENZV'!F18,$D$275)</f>
        <v>78883.432000000001</v>
      </c>
      <c r="F276" s="672">
        <f>ROUND('T1 ENZV'!G18,$D$275)</f>
        <v>87161</v>
      </c>
      <c r="G276" s="672">
        <f>ROUND('T1 ENZV'!H18,$D$275)</f>
        <v>89201.361999999994</v>
      </c>
      <c r="H276" s="672">
        <f>ROUND('T1 ENZV'!I18,$D$275)</f>
        <v>88377.001999999993</v>
      </c>
      <c r="I276" s="672">
        <f>ROUND('T1 ENZV'!J18,$D$275)</f>
        <v>90427.183999999994</v>
      </c>
      <c r="J276" s="672">
        <f>ROUND('T1 ENZV'!K18,$D$275)</f>
        <v>76155.133000000002</v>
      </c>
      <c r="K276" s="672">
        <f>ROUND('T1 ENZV'!L18,$D$275)</f>
        <v>76828.659</v>
      </c>
      <c r="L276" s="672">
        <f>ROUND('T1 ENZV'!M18,$D$275)</f>
        <v>152983.79300000001</v>
      </c>
      <c r="M276" s="672">
        <f>ROUND('T1 ENZV'!N18,$D$275)</f>
        <v>66429.365999999995</v>
      </c>
      <c r="N276" s="672">
        <f>ROUND('T1 ENZV'!O18,$D$275)</f>
        <v>79353.476999999999</v>
      </c>
      <c r="O276" s="672">
        <f>ROUND('T1 ENZV'!P18,$D$275)</f>
        <v>80168.797000000006</v>
      </c>
      <c r="P276" s="51"/>
      <c r="Q276" s="672">
        <f>ROUND('T1 ENZV'!R18,$D$275)</f>
        <v>76155.133000000002</v>
      </c>
    </row>
    <row r="277" spans="1:17" s="44" customFormat="1" ht="15" customHeight="1" outlineLevel="1">
      <c r="A277" s="39"/>
      <c r="B277" s="676"/>
      <c r="C277" s="677" t="s">
        <v>24</v>
      </c>
      <c r="D277" s="678"/>
      <c r="E277" s="672">
        <f>ROUND(SUM('T1 ENZV'!F12,'T1 ENZV'!F14:F17),$D$275)</f>
        <v>78883.432000000001</v>
      </c>
      <c r="F277" s="672">
        <f>ROUND(SUM('T1 ENZV'!G12,'T1 ENZV'!G14:G17),$D$275)</f>
        <v>87161</v>
      </c>
      <c r="G277" s="672">
        <f>ROUND(SUM('T1 ENZV'!H12,'T1 ENZV'!H14:H17),$D$275)</f>
        <v>89201.361999999994</v>
      </c>
      <c r="H277" s="672">
        <f>ROUND(SUM('T1 ENZV'!I12,'T1 ENZV'!I14:I17),$D$275)</f>
        <v>88377.001999999993</v>
      </c>
      <c r="I277" s="672">
        <f>ROUND(SUM('T1 ENZV'!J12,'T1 ENZV'!J14:J17),$D$275)</f>
        <v>90427.183999999994</v>
      </c>
      <c r="J277" s="672">
        <f>ROUND(SUM('T1 ENZV'!K12,'T1 ENZV'!K14:K17),$D$275)</f>
        <v>76155.133000000002</v>
      </c>
      <c r="K277" s="672">
        <f>ROUND(SUM('T1 ENZV'!L12,'T1 ENZV'!L14:L17),$D$275)</f>
        <v>76828.659</v>
      </c>
      <c r="L277" s="672">
        <f>ROUND(SUM('T1 ENZV'!M12,'T1 ENZV'!M14:M17),$D$275)</f>
        <v>152983.79300000001</v>
      </c>
      <c r="M277" s="672">
        <f>ROUND(SUM('T1 ENZV'!N12,'T1 ENZV'!N14:N17),$D$275)</f>
        <v>66429.365999999995</v>
      </c>
      <c r="N277" s="672">
        <f>ROUND(SUM('T1 ENZV'!O12,'T1 ENZV'!O14:O17),$D$275)</f>
        <v>79353.476999999999</v>
      </c>
      <c r="O277" s="672">
        <f>ROUND(SUM('T1 ENZV'!P12,'T1 ENZV'!P14:P17),$D$275)</f>
        <v>80168.797000000006</v>
      </c>
      <c r="P277" s="51"/>
      <c r="Q277" s="672">
        <f>ROUND(SUM('T1 ENZV'!R12,'T1 ENZV'!R14:R17),$D$275)</f>
        <v>76155.133000000002</v>
      </c>
    </row>
    <row r="278" spans="1:17" s="38" customFormat="1" ht="15" customHeight="1">
      <c r="A278" s="33" t="s">
        <v>25</v>
      </c>
      <c r="B278" s="673" t="s">
        <v>26</v>
      </c>
      <c r="C278" s="704" t="s">
        <v>27</v>
      </c>
      <c r="D278" s="675">
        <v>3</v>
      </c>
      <c r="E278" s="37" t="b">
        <f>ROUND('T1 ENZV'!F31,$D$278)=ROUND(SUM('T1 ENZV'!F22:F30),$D$278)</f>
        <v>1</v>
      </c>
      <c r="F278" s="37" t="b">
        <f>ROUND('T1 ENZV'!G31,$D$278)=ROUND(SUM('T1 ENZV'!G22:G30),$D$278)</f>
        <v>1</v>
      </c>
      <c r="G278" s="37" t="b">
        <f>ROUND('T1 ENZV'!H31,$D$278)=ROUND(SUM('T1 ENZV'!H22:H30),$D$278)</f>
        <v>1</v>
      </c>
      <c r="H278" s="37" t="b">
        <f>ROUND('T1 ENZV'!I31,$D$278)=ROUND(SUM('T1 ENZV'!I22:I30),$D$278)</f>
        <v>1</v>
      </c>
      <c r="I278" s="37" t="b">
        <f>ROUND('T1 ENZV'!J31,$D$278)=ROUND(SUM('T1 ENZV'!J22:J30),$D$278)</f>
        <v>1</v>
      </c>
      <c r="J278" s="37" t="b">
        <f>ROUND('T1 ENZV'!K31,$D$278)=ROUND(SUM('T1 ENZV'!K22:K30),$D$278)</f>
        <v>1</v>
      </c>
      <c r="K278" s="37" t="b">
        <f>ROUND('T1 ENZV'!L31,$D$278)=ROUND(SUM('T1 ENZV'!L22:L30),$D$278)</f>
        <v>1</v>
      </c>
      <c r="L278" s="37" t="b">
        <f>ROUND('T1 ENZV'!M31,$D$278)=ROUND(SUM('T1 ENZV'!M22:M30),$D$278)</f>
        <v>1</v>
      </c>
      <c r="M278" s="37" t="b">
        <f>ROUND('T1 ENZV'!N31,$D$278)=ROUND(SUM('T1 ENZV'!N22:N30),$D$278)</f>
        <v>1</v>
      </c>
      <c r="N278" s="37" t="b">
        <f>ROUND('T1 ENZV'!O31,$D$278)=ROUND(SUM('T1 ENZV'!O22:O30),$D$278)</f>
        <v>1</v>
      </c>
      <c r="O278" s="37" t="b">
        <f>ROUND('T1 ENZV'!P31,$D$278)=ROUND(SUM('T1 ENZV'!P22:P30),$D$278)</f>
        <v>1</v>
      </c>
      <c r="P278" s="51"/>
      <c r="Q278" s="37" t="b">
        <f>ROUND('T1 ENZV'!R31,$D$278)=ROUND(SUM('T1 ENZV'!R22:R30),$D$278)</f>
        <v>1</v>
      </c>
    </row>
    <row r="279" spans="1:17" s="44" customFormat="1" ht="15" customHeight="1" outlineLevel="1">
      <c r="A279" s="39"/>
      <c r="B279" s="676"/>
      <c r="C279" s="677" t="s">
        <v>28</v>
      </c>
      <c r="D279" s="678"/>
      <c r="E279" s="672">
        <f>ROUND('T1 ENZV'!F31,$D$278)</f>
        <v>78883.432000000001</v>
      </c>
      <c r="F279" s="672">
        <f>ROUND('T1 ENZV'!G31,$D$278)</f>
        <v>87161</v>
      </c>
      <c r="G279" s="672">
        <f>ROUND('T1 ENZV'!H31,$D$278)</f>
        <v>89201.361999999994</v>
      </c>
      <c r="H279" s="672">
        <f>ROUND('T1 ENZV'!I31,$D$278)</f>
        <v>88377.001999999993</v>
      </c>
      <c r="I279" s="672">
        <f>ROUND('T1 ENZV'!J31,$D$278)</f>
        <v>90427.183999999994</v>
      </c>
      <c r="J279" s="672">
        <f>ROUND('T1 ENZV'!K31,$D$278)</f>
        <v>76155.133000000002</v>
      </c>
      <c r="K279" s="672">
        <f>ROUND('T1 ENZV'!L31,$D$278)</f>
        <v>76828.659</v>
      </c>
      <c r="L279" s="672">
        <f>ROUND('T1 ENZV'!M31,$D$278)</f>
        <v>152983.79300000001</v>
      </c>
      <c r="M279" s="672">
        <f>ROUND('T1 ENZV'!N31,$D$278)</f>
        <v>66429.365999999995</v>
      </c>
      <c r="N279" s="672">
        <f>ROUND('T1 ENZV'!O31,$D$278)</f>
        <v>79353.476999999999</v>
      </c>
      <c r="O279" s="672">
        <f>ROUND('T1 ENZV'!P31,$D$278)</f>
        <v>80168.797000000006</v>
      </c>
      <c r="P279" s="51"/>
      <c r="Q279" s="672">
        <f>ROUND('T1 ENZV'!R31,$D$278)</f>
        <v>76155.133000000002</v>
      </c>
    </row>
    <row r="280" spans="1:17" s="44" customFormat="1" ht="15" customHeight="1" outlineLevel="1">
      <c r="A280" s="39"/>
      <c r="B280" s="676"/>
      <c r="C280" s="677" t="s">
        <v>29</v>
      </c>
      <c r="D280" s="678"/>
      <c r="E280" s="672">
        <f>ROUND(SUM('T1 ENZV'!F22:F30),$D$278)</f>
        <v>78883.432000000001</v>
      </c>
      <c r="F280" s="672">
        <f>ROUND(SUM('T1 ENZV'!G22:G30),$D$278)</f>
        <v>87161</v>
      </c>
      <c r="G280" s="672">
        <f>ROUND(SUM('T1 ENZV'!H22:H30),$D$278)</f>
        <v>89201.361999999994</v>
      </c>
      <c r="H280" s="672">
        <f>ROUND(SUM('T1 ENZV'!I22:I30),$D$278)</f>
        <v>88377.001999999993</v>
      </c>
      <c r="I280" s="672">
        <f>ROUND(SUM('T1 ENZV'!J22:J30),$D$278)</f>
        <v>90427.183999999994</v>
      </c>
      <c r="J280" s="672">
        <f>ROUND(SUM('T1 ENZV'!K22:K30),$D$278)</f>
        <v>76155.133000000002</v>
      </c>
      <c r="K280" s="672">
        <f>ROUND(SUM('T1 ENZV'!L22:L30),$D$278)</f>
        <v>76828.659</v>
      </c>
      <c r="L280" s="672">
        <f>ROUND(SUM('T1 ENZV'!M22:M30),$D$278)</f>
        <v>152983.79300000001</v>
      </c>
      <c r="M280" s="672">
        <f>ROUND(SUM('T1 ENZV'!N22:N30),$D$278)</f>
        <v>66429.365999999995</v>
      </c>
      <c r="N280" s="672">
        <f>ROUND(SUM('T1 ENZV'!O22:O30),$D$278)</f>
        <v>79353.476999999999</v>
      </c>
      <c r="O280" s="672">
        <f>ROUND(SUM('T1 ENZV'!P22:P30),$D$278)</f>
        <v>80168.797000000006</v>
      </c>
      <c r="P280" s="51"/>
      <c r="Q280" s="672">
        <f>ROUND(SUM('T1 ENZV'!R22:R30),$D$278)</f>
        <v>76155.133000000002</v>
      </c>
    </row>
    <row r="281" spans="1:17" s="38" customFormat="1" ht="15" customHeight="1">
      <c r="A281" s="33" t="s">
        <v>30</v>
      </c>
      <c r="B281" s="673" t="s">
        <v>26</v>
      </c>
      <c r="C281" s="704" t="s">
        <v>31</v>
      </c>
      <c r="D281" s="675">
        <v>3</v>
      </c>
      <c r="E281" s="37" t="b">
        <f>ROUND('T1 ENZV'!F18,$D$281)=ROUND('T1 ENZV'!F31,$D$281)</f>
        <v>1</v>
      </c>
      <c r="F281" s="37" t="b">
        <f>ROUND('T1 ENZV'!G18,$D$281)=ROUND('T1 ENZV'!G31,$D$281)</f>
        <v>1</v>
      </c>
      <c r="G281" s="37" t="b">
        <f>ROUND('T1 ENZV'!H18,$D$281)=ROUND('T1 ENZV'!H31,$D$281)</f>
        <v>1</v>
      </c>
      <c r="H281" s="37" t="b">
        <f>ROUND('T1 ENZV'!I18,$D$281)=ROUND('T1 ENZV'!I31,$D$281)</f>
        <v>1</v>
      </c>
      <c r="I281" s="37" t="b">
        <f>ROUND('T1 ENZV'!J18,$D$281)=ROUND('T1 ENZV'!J31,$D$281)</f>
        <v>1</v>
      </c>
      <c r="J281" s="37" t="b">
        <f>ROUND('T1 ENZV'!K18,$D$281)=ROUND('T1 ENZV'!K31,$D$281)</f>
        <v>1</v>
      </c>
      <c r="K281" s="37" t="b">
        <f>ROUND('T1 ENZV'!L18,$D$281)=ROUND('T1 ENZV'!L31,$D$281)</f>
        <v>1</v>
      </c>
      <c r="L281" s="37" t="b">
        <f>ROUND('T1 ENZV'!M18,$D$281)=ROUND('T1 ENZV'!M31,$D$281)</f>
        <v>1</v>
      </c>
      <c r="M281" s="37" t="b">
        <f>ROUND('T1 ENZV'!N18,$D$281)=ROUND('T1 ENZV'!N31,$D$281)</f>
        <v>1</v>
      </c>
      <c r="N281" s="37" t="b">
        <f>ROUND('T1 ENZV'!O18,$D$281)=ROUND('T1 ENZV'!O31,$D$281)</f>
        <v>1</v>
      </c>
      <c r="O281" s="37" t="b">
        <f>ROUND('T1 ENZV'!P18,$D$281)=ROUND('T1 ENZV'!P31,$D$281)</f>
        <v>1</v>
      </c>
      <c r="P281" s="51"/>
      <c r="Q281" s="37" t="b">
        <f>ROUND('T1 ENZV'!R18,$D$281)=ROUND('T1 ENZV'!R31,$D$281)</f>
        <v>1</v>
      </c>
    </row>
    <row r="282" spans="1:17" s="44" customFormat="1" ht="15" customHeight="1" outlineLevel="1">
      <c r="A282" s="39"/>
      <c r="B282" s="676"/>
      <c r="C282" s="677" t="s">
        <v>23</v>
      </c>
      <c r="D282" s="678"/>
      <c r="E282" s="672">
        <f>ROUND('T1 ENZV'!F18,$D$281)</f>
        <v>78883.432000000001</v>
      </c>
      <c r="F282" s="672">
        <f>ROUND('T1 ENZV'!G18,$D$281)</f>
        <v>87161</v>
      </c>
      <c r="G282" s="672">
        <f>ROUND('T1 ENZV'!H18,$D$281)</f>
        <v>89201.361999999994</v>
      </c>
      <c r="H282" s="672">
        <f>ROUND('T1 ENZV'!I18,$D$281)</f>
        <v>88377.001999999993</v>
      </c>
      <c r="I282" s="672">
        <f>ROUND('T1 ENZV'!J18,$D$281)</f>
        <v>90427.183999999994</v>
      </c>
      <c r="J282" s="672">
        <f>ROUND('T1 ENZV'!K18,$D$281)</f>
        <v>76155.133000000002</v>
      </c>
      <c r="K282" s="672">
        <f>ROUND('T1 ENZV'!L18,$D$281)</f>
        <v>76828.659</v>
      </c>
      <c r="L282" s="672">
        <f>ROUND('T1 ENZV'!M18,$D$281)</f>
        <v>152983.79300000001</v>
      </c>
      <c r="M282" s="672">
        <f>ROUND('T1 ENZV'!N18,$D$281)</f>
        <v>66429.365999999995</v>
      </c>
      <c r="N282" s="672">
        <f>ROUND('T1 ENZV'!O18,$D$281)</f>
        <v>79353.476999999999</v>
      </c>
      <c r="O282" s="672">
        <f>ROUND('T1 ENZV'!P18,$D$281)</f>
        <v>80168.797000000006</v>
      </c>
      <c r="P282" s="51"/>
      <c r="Q282" s="672">
        <f>ROUND('T1 ENZV'!R18,$D$281)</f>
        <v>76155.133000000002</v>
      </c>
    </row>
    <row r="283" spans="1:17" s="44" customFormat="1" ht="15" customHeight="1" outlineLevel="1">
      <c r="A283" s="39"/>
      <c r="B283" s="676"/>
      <c r="C283" s="677" t="s">
        <v>28</v>
      </c>
      <c r="D283" s="678"/>
      <c r="E283" s="672">
        <f>ROUND('T1 ENZV'!F31,$D$281)</f>
        <v>78883.432000000001</v>
      </c>
      <c r="F283" s="672">
        <f>ROUND('T1 ENZV'!G31,$D$281)</f>
        <v>87161</v>
      </c>
      <c r="G283" s="672">
        <f>ROUND('T1 ENZV'!H31,$D$281)</f>
        <v>89201.361999999994</v>
      </c>
      <c r="H283" s="672">
        <f>ROUND('T1 ENZV'!I31,$D$281)</f>
        <v>88377.001999999993</v>
      </c>
      <c r="I283" s="672">
        <f>ROUND('T1 ENZV'!J31,$D$281)</f>
        <v>90427.183999999994</v>
      </c>
      <c r="J283" s="672">
        <f>ROUND('T1 ENZV'!K31,$D$281)</f>
        <v>76155.133000000002</v>
      </c>
      <c r="K283" s="672">
        <f>ROUND('T1 ENZV'!L31,$D$281)</f>
        <v>76828.659</v>
      </c>
      <c r="L283" s="672">
        <f>ROUND('T1 ENZV'!M31,$D$281)</f>
        <v>152983.79300000001</v>
      </c>
      <c r="M283" s="672">
        <f>ROUND('T1 ENZV'!N31,$D$281)</f>
        <v>66429.365999999995</v>
      </c>
      <c r="N283" s="672">
        <f>ROUND('T1 ENZV'!O31,$D$281)</f>
        <v>79353.476999999999</v>
      </c>
      <c r="O283" s="672">
        <f>ROUND('T1 ENZV'!P31,$D$281)</f>
        <v>80168.797000000006</v>
      </c>
      <c r="P283" s="51"/>
      <c r="Q283" s="672">
        <f>ROUND('T1 ENZV'!R31,$D$281)</f>
        <v>76155.133000000002</v>
      </c>
    </row>
    <row r="284" spans="1:17" s="38" customFormat="1" ht="15" customHeight="1">
      <c r="A284" s="33" t="s">
        <v>50</v>
      </c>
      <c r="B284" s="673" t="s">
        <v>51</v>
      </c>
      <c r="C284" s="704" t="s">
        <v>52</v>
      </c>
      <c r="D284" s="675">
        <v>3</v>
      </c>
      <c r="E284" s="37" t="b">
        <f>ROUND(('T1 ENZV'!F61-'T1 ENZV'!F29-'T1 ENZV'!F30-'T1 ENZV'!F15-'T1 ENZV'!F16+'T1 ENZV'!F79+'T1 ENZV'!F80)/('T1 ENZV'!F65/100)+'T1 ENZV'!F29+'T1 ENZV'!F30+'T1 ENZV'!F15+'T1 ENZV'!F16-'T1 ENZV'!F79-'T1 ENZV'!F80,$D$284)=ROUND('T1 ENZV'!F66,$D$284)</f>
        <v>1</v>
      </c>
      <c r="F284" s="37" t="b">
        <f>ROUND(('T1 ENZV'!G61-'T1 ENZV'!G29-'T1 ENZV'!G30-'T1 ENZV'!G15-'T1 ENZV'!G16+'T1 ENZV'!G79+'T1 ENZV'!G80)/('T1 ENZV'!G65/100)+'T1 ENZV'!G29+'T1 ENZV'!G30+'T1 ENZV'!G15+'T1 ENZV'!G16-'T1 ENZV'!G79-'T1 ENZV'!G80,$D$284)=ROUND('T1 ENZV'!G66,$D$284)</f>
        <v>1</v>
      </c>
      <c r="G284" s="37" t="b">
        <f>ROUND(('T1 ENZV'!H61-'T1 ENZV'!H29-'T1 ENZV'!H30-'T1 ENZV'!H15-'T1 ENZV'!H16+'T1 ENZV'!H79+'T1 ENZV'!H80)/('T1 ENZV'!H65/100)+'T1 ENZV'!H29+'T1 ENZV'!H30+'T1 ENZV'!H15+'T1 ENZV'!H16-'T1 ENZV'!H79-'T1 ENZV'!H80,$D$284)=ROUND('T1 ENZV'!H66,$D$284)</f>
        <v>1</v>
      </c>
      <c r="H284" s="37" t="b">
        <f>ROUND(('T1 ENZV'!I61-'T1 ENZV'!I29-'T1 ENZV'!I30-'T1 ENZV'!I15-'T1 ENZV'!I16+'T1 ENZV'!I79+'T1 ENZV'!I80)/('T1 ENZV'!I65/100)+'T1 ENZV'!I29+'T1 ENZV'!I30+'T1 ENZV'!I15+'T1 ENZV'!I16-'T1 ENZV'!I79-'T1 ENZV'!I80,$D$284)=ROUND('T1 ENZV'!I66,$D$284)</f>
        <v>1</v>
      </c>
      <c r="I284" s="37" t="b">
        <f>ROUND(('T1 ENZV'!J61-'T1 ENZV'!J29-'T1 ENZV'!J30-'T1 ENZV'!J15-'T1 ENZV'!J16+'T1 ENZV'!J79+'T1 ENZV'!J80)/('T1 ENZV'!J65/100)+'T1 ENZV'!J29+'T1 ENZV'!J30+'T1 ENZV'!J15+'T1 ENZV'!J16-'T1 ENZV'!J79-'T1 ENZV'!J80,$D$284)=ROUND('T1 ENZV'!J66,$D$284)</f>
        <v>1</v>
      </c>
      <c r="J284" s="37" t="b">
        <f>ROUND(('T1 ENZV'!K61-'T1 ENZV'!K29-'T1 ENZV'!K30-'T1 ENZV'!K15-'T1 ENZV'!K16+'T1 ENZV'!K79+'T1 ENZV'!K80)/('T1 ENZV'!K65/100)+'T1 ENZV'!K29+'T1 ENZV'!K30+'T1 ENZV'!K15+'T1 ENZV'!K16-'T1 ENZV'!K79-'T1 ENZV'!K80,$D$284)=ROUND('T1 ENZV'!K66,$D$284)</f>
        <v>1</v>
      </c>
      <c r="K284" s="37" t="b">
        <f>ROUND(('T1 ENZV'!L61-'T1 ENZV'!L29-'T1 ENZV'!L30-'T1 ENZV'!L15-'T1 ENZV'!L16+'T1 ENZV'!L79+'T1 ENZV'!L80)/('T1 ENZV'!L65/100)+'T1 ENZV'!L29+'T1 ENZV'!L30+'T1 ENZV'!L15+'T1 ENZV'!L16-'T1 ENZV'!L79-'T1 ENZV'!L80,$D$284)=ROUND('T1 ENZV'!L66,$D$284)</f>
        <v>1</v>
      </c>
      <c r="L284" s="37" t="b">
        <f>ROUND('T1 ENZV'!K66+'T1 ENZV'!L66,$D$284)=ROUND('T1 ENZV'!M66,$D$284)</f>
        <v>1</v>
      </c>
      <c r="M284" s="37" t="b">
        <f>ROUND(('T1 ENZV'!N61-'T1 ENZV'!N29-'T1 ENZV'!N30-'T1 ENZV'!N15-'T1 ENZV'!N16+'T1 ENZV'!N79+'T1 ENZV'!N80)/('T1 ENZV'!N65/100)+'T1 ENZV'!N29+'T1 ENZV'!N30+'T1 ENZV'!N15+'T1 ENZV'!N16-'T1 ENZV'!N79-'T1 ENZV'!N80,$D$284)=ROUND('T1 ENZV'!N66,$D$284)</f>
        <v>1</v>
      </c>
      <c r="N284" s="37" t="b">
        <f>ROUND(('T1 ENZV'!O61-'T1 ENZV'!O29-'T1 ENZV'!O30-'T1 ENZV'!O15-'T1 ENZV'!O16+'T1 ENZV'!O79+'T1 ENZV'!O80)/('T1 ENZV'!O65/100)+'T1 ENZV'!O29+'T1 ENZV'!O30+'T1 ENZV'!O15+'T1 ENZV'!O16-'T1 ENZV'!O79-'T1 ENZV'!O80,$D$284)=ROUND('T1 ENZV'!O66,$D$284)</f>
        <v>1</v>
      </c>
      <c r="O284" s="37" t="b">
        <f>ROUND(('T1 ENZV'!P61-'T1 ENZV'!P29-'T1 ENZV'!P30-'T1 ENZV'!P15-'T1 ENZV'!P16+'T1 ENZV'!P79+'T1 ENZV'!P80)/('T1 ENZV'!P65/100)+'T1 ENZV'!P29+'T1 ENZV'!P30+'T1 ENZV'!P15+'T1 ENZV'!P16-'T1 ENZV'!P79-'T1 ENZV'!P80,$D$284)=ROUND('T1 ENZV'!P66,$D$284)</f>
        <v>1</v>
      </c>
      <c r="P284" s="51"/>
      <c r="Q284" s="37" t="b">
        <f>ROUND(('T1 ENZV'!R61-'T1 ENZV'!R29-'T1 ENZV'!R30-'T1 ENZV'!R15-'T1 ENZV'!R16+'T1 ENZV'!R79+'T1 ENZV'!R80)/('T1 ENZV'!R65/100)+'T1 ENZV'!R29+'T1 ENZV'!R30+'T1 ENZV'!R15+'T1 ENZV'!R16-'T1 ENZV'!R79-'T1 ENZV'!R80,$D$284)=ROUND('T1 ENZV'!R66,$D$284)</f>
        <v>1</v>
      </c>
    </row>
    <row r="285" spans="1:17" s="44" customFormat="1" ht="15" customHeight="1" outlineLevel="1">
      <c r="A285" s="39"/>
      <c r="B285" s="676"/>
      <c r="C285" s="677" t="s">
        <v>53</v>
      </c>
      <c r="D285" s="678"/>
      <c r="E285" s="672">
        <f>ROUND(('T1 ENZV'!F61-'T1 ENZV'!F29-'T1 ENZV'!F30-'T1 ENZV'!F15-'T1 ENZV'!F16+'T1 ENZV'!F79+'T1 ENZV'!F80)/('T1 ENZV'!F65/100)+'T1 ENZV'!F29+'T1 ENZV'!F30+'T1 ENZV'!F15+'T1 ENZV'!F16-'T1 ENZV'!F79-'T1 ENZV'!F80,$D$284)</f>
        <v>82958.489000000001</v>
      </c>
      <c r="F285" s="672">
        <f>ROUND(('T1 ENZV'!G61-'T1 ENZV'!G29-'T1 ENZV'!G30-'T1 ENZV'!G15-'T1 ENZV'!G16+'T1 ENZV'!G79+'T1 ENZV'!G80)/('T1 ENZV'!G65/100)+'T1 ENZV'!G29+'T1 ENZV'!G30+'T1 ENZV'!G15+'T1 ENZV'!G16-'T1 ENZV'!G79-'T1 ENZV'!G80,$D$284)</f>
        <v>88219.16</v>
      </c>
      <c r="G285" s="672">
        <f>ROUND(('T1 ENZV'!H61-'T1 ENZV'!H29-'T1 ENZV'!H30-'T1 ENZV'!H15-'T1 ENZV'!H16+'T1 ENZV'!H79+'T1 ENZV'!H80)/('T1 ENZV'!H65/100)+'T1 ENZV'!H29+'T1 ENZV'!H30+'T1 ENZV'!H15+'T1 ENZV'!H16-'T1 ENZV'!H79-'T1 ENZV'!H80,$D$284)</f>
        <v>88978.358999999997</v>
      </c>
      <c r="H285" s="672">
        <f>ROUND(('T1 ENZV'!I61-'T1 ENZV'!I29-'T1 ENZV'!I30-'T1 ENZV'!I15-'T1 ENZV'!I16+'T1 ENZV'!I79+'T1 ENZV'!I80)/('T1 ENZV'!I65/100)+'T1 ENZV'!I29+'T1 ENZV'!I30+'T1 ENZV'!I15+'T1 ENZV'!I16-'T1 ENZV'!I79-'T1 ENZV'!I80,$D$284)</f>
        <v>86210.611999999994</v>
      </c>
      <c r="I285" s="672">
        <f>ROUND(('T1 ENZV'!J61-'T1 ENZV'!J29-'T1 ENZV'!J30-'T1 ENZV'!J15-'T1 ENZV'!J16+'T1 ENZV'!J79+'T1 ENZV'!J80)/('T1 ENZV'!J65/100)+'T1 ENZV'!J29+'T1 ENZV'!J30+'T1 ENZV'!J15+'T1 ENZV'!J16-'T1 ENZV'!J79-'T1 ENZV'!J80,$D$284)</f>
        <v>86481.558000000005</v>
      </c>
      <c r="J285" s="672">
        <f>ROUND(('T1 ENZV'!K61-'T1 ENZV'!K29-'T1 ENZV'!K30-'T1 ENZV'!K15-'T1 ENZV'!K16+'T1 ENZV'!K79+'T1 ENZV'!K80)/('T1 ENZV'!K65/100)+'T1 ENZV'!K29+'T1 ENZV'!K30+'T1 ENZV'!K15+'T1 ENZV'!K16-'T1 ENZV'!K79-'T1 ENZV'!K80,$D$284)</f>
        <v>72143.289999999994</v>
      </c>
      <c r="K285" s="672">
        <f>ROUND(('T1 ENZV'!L61-'T1 ENZV'!L29-'T1 ENZV'!L30-'T1 ENZV'!L15-'T1 ENZV'!L16+'T1 ENZV'!L79+'T1 ENZV'!L80)/('T1 ENZV'!L65/100)+'T1 ENZV'!L29+'T1 ENZV'!L30+'T1 ENZV'!L15+'T1 ENZV'!L16-'T1 ENZV'!L79-'T1 ENZV'!L80,$D$284)</f>
        <v>71432.417000000001</v>
      </c>
      <c r="L285" s="672">
        <f>ROUND('T1 ENZV'!K66+'T1 ENZV'!L66,$D$284)</f>
        <v>143575.70600000001</v>
      </c>
      <c r="M285" s="672">
        <f>ROUND(('T1 ENZV'!N61-'T1 ENZV'!N29-'T1 ENZV'!N30-'T1 ENZV'!N15-'T1 ENZV'!N16+'T1 ENZV'!N79+'T1 ENZV'!N80)/('T1 ENZV'!N65/100)+'T1 ENZV'!N29+'T1 ENZV'!N30+'T1 ENZV'!N15+'T1 ENZV'!N16-'T1 ENZV'!N79-'T1 ENZV'!N80,$D$284)</f>
        <v>60777.673999999999</v>
      </c>
      <c r="N285" s="672">
        <f>ROUND(('T1 ENZV'!O61-'T1 ENZV'!O29-'T1 ENZV'!O30-'T1 ENZV'!O15-'T1 ENZV'!O16+'T1 ENZV'!O79+'T1 ENZV'!O80)/('T1 ENZV'!O65/100)+'T1 ENZV'!O29+'T1 ENZV'!O30+'T1 ENZV'!O15+'T1 ENZV'!O16-'T1 ENZV'!O79-'T1 ENZV'!O80,$D$284)</f>
        <v>71513.081000000006</v>
      </c>
      <c r="O285" s="672">
        <f>ROUND(('T1 ENZV'!P61-'T1 ENZV'!P29-'T1 ENZV'!P30-'T1 ENZV'!P15-'T1 ENZV'!P16+'T1 ENZV'!P79+'T1 ENZV'!P80)/('T1 ENZV'!P65/100)+'T1 ENZV'!P29+'T1 ENZV'!P30+'T1 ENZV'!P15+'T1 ENZV'!P16-'T1 ENZV'!P79-'T1 ENZV'!P80,$D$284)</f>
        <v>71019.600999999995</v>
      </c>
      <c r="P285" s="51"/>
      <c r="Q285" s="672">
        <f>ROUND(('T1 ENZV'!R61-'T1 ENZV'!R29-'T1 ENZV'!R30-'T1 ENZV'!R15-'T1 ENZV'!R16+'T1 ENZV'!R79+'T1 ENZV'!R80)/('T1 ENZV'!R65/100)+'T1 ENZV'!R29+'T1 ENZV'!R30+'T1 ENZV'!R15+'T1 ENZV'!R16-'T1 ENZV'!R79-'T1 ENZV'!R80,$D$284)</f>
        <v>72143.289999999994</v>
      </c>
    </row>
    <row r="286" spans="1:17" s="44" customFormat="1" ht="15" customHeight="1" outlineLevel="1">
      <c r="A286" s="39"/>
      <c r="B286" s="676"/>
      <c r="C286" s="677" t="s">
        <v>54</v>
      </c>
      <c r="D286" s="678"/>
      <c r="E286" s="672">
        <f>ROUND('T1 ENZV'!F66,$D$284)</f>
        <v>82958.489000000001</v>
      </c>
      <c r="F286" s="672">
        <f>ROUND('T1 ENZV'!G66,$D$284)</f>
        <v>88219.16</v>
      </c>
      <c r="G286" s="672">
        <f>ROUND('T1 ENZV'!H66,$D$284)</f>
        <v>88978.358999999997</v>
      </c>
      <c r="H286" s="672">
        <f>ROUND('T1 ENZV'!I66,$D$284)</f>
        <v>86210.611999999994</v>
      </c>
      <c r="I286" s="672">
        <f>ROUND('T1 ENZV'!J66,$D$284)</f>
        <v>86481.558000000005</v>
      </c>
      <c r="J286" s="672">
        <f>ROUND('T1 ENZV'!K66,$D$284)</f>
        <v>72143.289999999994</v>
      </c>
      <c r="K286" s="672">
        <f>ROUND('T1 ENZV'!L66,$D$284)</f>
        <v>71432.417000000001</v>
      </c>
      <c r="L286" s="672">
        <f>ROUND('T1 ENZV'!M66,$D$284)</f>
        <v>143575.70600000001</v>
      </c>
      <c r="M286" s="672">
        <f>ROUND('T1 ENZV'!N66,$D$284)</f>
        <v>60777.673999999999</v>
      </c>
      <c r="N286" s="672">
        <f>ROUND('T1 ENZV'!O66,$D$284)</f>
        <v>71513.081000000006</v>
      </c>
      <c r="O286" s="672">
        <f>ROUND('T1 ENZV'!P66,$D$284)</f>
        <v>71019.600999999995</v>
      </c>
      <c r="P286" s="51"/>
      <c r="Q286" s="672">
        <f>ROUND('T1 ENZV'!R66,$D$284)</f>
        <v>72143.289999999994</v>
      </c>
    </row>
    <row r="287" spans="1:17" s="38" customFormat="1" ht="15" customHeight="1">
      <c r="A287" s="33" t="s">
        <v>672</v>
      </c>
      <c r="B287" s="673" t="s">
        <v>51</v>
      </c>
      <c r="C287" s="35" t="s">
        <v>673</v>
      </c>
      <c r="D287" s="675">
        <v>3</v>
      </c>
      <c r="E287" s="1162" t="b">
        <f>IF(ROUND('T1 NSA'!F15+'T1 NSA'!F16,$D$287)&gt;0,ROUND('T1 ENZV'!F79+'T1 ENZV'!F80,$D$287)&gt;0,ROUND('T1 ENZV'!F79+'T1 ENZV'!F80,$D$287)=0)</f>
        <v>1</v>
      </c>
      <c r="F287" s="1162" t="b">
        <f>IF(ROUND('T1 NSA'!G15+'T1 NSA'!G16,$D$287)&gt;0,ROUND('T1 ENZV'!G79+'T1 ENZV'!G80,$D$287)&gt;0,ROUND('T1 ENZV'!G79+'T1 ENZV'!G80,$D$287)=0)</f>
        <v>1</v>
      </c>
      <c r="G287" s="1162" t="b">
        <f>IF(ROUND('T1 NSA'!H15+'T1 NSA'!H16,$D$287)&gt;0,ROUND('T1 ENZV'!H79+'T1 ENZV'!H80,$D$287)&gt;0,ROUND('T1 ENZV'!H79+'T1 ENZV'!H80,$D$287)=0)</f>
        <v>1</v>
      </c>
      <c r="H287" s="1162" t="b">
        <f>IF(ROUND('T1 NSA'!I15+'T1 NSA'!I16,$D$287)&gt;0,ROUND('T1 ENZV'!I79+'T1 ENZV'!I80,$D$287)&gt;0,ROUND('T1 ENZV'!I79+'T1 ENZV'!I80,$D$287)=0)</f>
        <v>1</v>
      </c>
      <c r="I287" s="1162" t="b">
        <f>IF(ROUND('T1 NSA'!J15+'T1 NSA'!J16,$D$287)&gt;0,ROUND('T1 ENZV'!J79+'T1 ENZV'!J80,$D$287)&gt;0,ROUND('T1 ENZV'!J79+'T1 ENZV'!J80,$D$287)=0)</f>
        <v>1</v>
      </c>
      <c r="J287" s="1162" t="b">
        <f>IF(ROUND('T1 NSA'!K15+'T1 NSA'!K16,$D$287)&gt;0,ROUND('T1 ENZV'!K79+'T1 ENZV'!K80,$D$287)&gt;0,ROUND('T1 ENZV'!K79+'T1 ENZV'!K80,$D$287)=0)</f>
        <v>1</v>
      </c>
      <c r="K287" s="1162" t="b">
        <f>IF(ROUND('T1 NSA'!L15+'T1 NSA'!L16,$D$287)&gt;0,ROUND('T1 ENZV'!L79+'T1 ENZV'!L80,$D$287)&gt;0,ROUND('T1 ENZV'!L79+'T1 ENZV'!L80,$D$287)=0)</f>
        <v>1</v>
      </c>
      <c r="L287" s="1162" t="b">
        <f>IF(ROUND('T1 NSA'!M15+'T1 NSA'!M16,$D$287)&gt;0,ROUND('T1 ENZV'!M79+'T1 ENZV'!M80,$D$287)&gt;0,ROUND('T1 ENZV'!M79+'T1 ENZV'!M80,$D$287)=0)</f>
        <v>1</v>
      </c>
      <c r="M287" s="1162" t="b">
        <f>IF(ROUND('T1 NSA'!N15+'T1 NSA'!N16,$D$287)&gt;0,ROUND('T1 ENZV'!N79+'T1 ENZV'!N80,$D$287)&gt;0,ROUND('T1 ENZV'!N79+'T1 ENZV'!N80,$D$287)=0)</f>
        <v>1</v>
      </c>
      <c r="N287" s="1162" t="b">
        <f>IF(ROUND('T1 NSA'!O15+'T1 NSA'!O16,$D$287)&gt;0,ROUND('T1 ENZV'!O79+'T1 ENZV'!O80,$D$287)&gt;0,ROUND('T1 ENZV'!O79+'T1 ENZV'!O80,$D$287)=0)</f>
        <v>1</v>
      </c>
      <c r="O287" s="1162" t="b">
        <f>IF(ROUND('T1 NSA'!P15+'T1 NSA'!P16,$D$287)&gt;0,ROUND('T1 ENZV'!P79+'T1 ENZV'!P80,$D$287)&gt;0,ROUND('T1 ENZV'!P79+'T1 ENZV'!P80,$D$287)=0)</f>
        <v>1</v>
      </c>
      <c r="P287" s="51"/>
      <c r="Q287" s="1162" t="b">
        <f>IF(ROUND('T1 NSA'!R15+'T1 NSA'!R16,$D$287)&gt;0,ROUND('T1 ENZV'!R79+'T1 ENZV'!R80,$D$287)&gt;0,ROUND('T1 ENZV'!R79+'T1 ENZV'!R80,$D$287)=0)</f>
        <v>1</v>
      </c>
    </row>
    <row r="288" spans="1:17" s="44" customFormat="1" ht="15" customHeight="1" outlineLevel="1">
      <c r="A288" s="39"/>
      <c r="B288" s="676"/>
      <c r="C288" s="41" t="s">
        <v>675</v>
      </c>
      <c r="D288" s="678"/>
      <c r="E288" s="672">
        <f>ROUND('T1 NSA'!F15+'T1 NSA'!F16,$D$287)</f>
        <v>0</v>
      </c>
      <c r="F288" s="672">
        <f>ROUND('T1 NSA'!G15+'T1 NSA'!G16,$D$287)</f>
        <v>0</v>
      </c>
      <c r="G288" s="672">
        <f>ROUND('T1 NSA'!H15+'T1 NSA'!H16,$D$287)</f>
        <v>0</v>
      </c>
      <c r="H288" s="672">
        <f>ROUND('T1 NSA'!I15+'T1 NSA'!I16,$D$287)</f>
        <v>0</v>
      </c>
      <c r="I288" s="672">
        <f>ROUND('T1 NSA'!J15+'T1 NSA'!J16,$D$287)</f>
        <v>0</v>
      </c>
      <c r="J288" s="672">
        <f>ROUND('T1 NSA'!K15+'T1 NSA'!K16,$D$287)</f>
        <v>0</v>
      </c>
      <c r="K288" s="672">
        <f>ROUND('T1 NSA'!L15+'T1 NSA'!L16,$D$287)</f>
        <v>0</v>
      </c>
      <c r="L288" s="672">
        <f>ROUND('T1 NSA'!M15+'T1 NSA'!M16,$D$287)</f>
        <v>0</v>
      </c>
      <c r="M288" s="672">
        <f>ROUND('T1 NSA'!N15+'T1 NSA'!N16,$D$287)</f>
        <v>0</v>
      </c>
      <c r="N288" s="672">
        <f>ROUND('T1 NSA'!O15+'T1 NSA'!O16,$D$287)</f>
        <v>0</v>
      </c>
      <c r="O288" s="672">
        <f>ROUND('T1 NSA'!P15+'T1 NSA'!P16,$D$287)</f>
        <v>0</v>
      </c>
      <c r="P288" s="51"/>
      <c r="Q288" s="672">
        <f>ROUND('T1 NSA'!R15+'T1 NSA'!R16,$D$287)</f>
        <v>0</v>
      </c>
    </row>
    <row r="289" spans="1:17" s="44" customFormat="1" ht="15" customHeight="1" outlineLevel="1">
      <c r="A289" s="39"/>
      <c r="B289" s="676"/>
      <c r="C289" s="41" t="s">
        <v>676</v>
      </c>
      <c r="D289" s="678"/>
      <c r="E289" s="672">
        <f>ROUND('T1 ENZV'!F79+'T1 ENZV'!F80,$D$287)</f>
        <v>0</v>
      </c>
      <c r="F289" s="672">
        <f>ROUND('T1 ENZV'!G79+'T1 ENZV'!G80,$D$287)</f>
        <v>0</v>
      </c>
      <c r="G289" s="672">
        <f>ROUND('T1 ENZV'!H79+'T1 ENZV'!H80,$D$287)</f>
        <v>0</v>
      </c>
      <c r="H289" s="672">
        <f>ROUND('T1 ENZV'!I79+'T1 ENZV'!I80,$D$287)</f>
        <v>0</v>
      </c>
      <c r="I289" s="672">
        <f>ROUND('T1 ENZV'!J79+'T1 ENZV'!J80,$D$287)</f>
        <v>0</v>
      </c>
      <c r="J289" s="672">
        <f>ROUND('T1 ENZV'!K79+'T1 ENZV'!K80,$D$287)</f>
        <v>0</v>
      </c>
      <c r="K289" s="672">
        <f>ROUND('T1 ENZV'!L79+'T1 ENZV'!L80,$D$287)</f>
        <v>0</v>
      </c>
      <c r="L289" s="672">
        <f>ROUND('T1 ENZV'!M79+'T1 ENZV'!M80,$D$287)</f>
        <v>0</v>
      </c>
      <c r="M289" s="672">
        <f>ROUND('T1 ENZV'!N79+'T1 ENZV'!N80,$D$287)</f>
        <v>0</v>
      </c>
      <c r="N289" s="672">
        <f>ROUND('T1 ENZV'!O79+'T1 ENZV'!O80,$D$287)</f>
        <v>0</v>
      </c>
      <c r="O289" s="672">
        <f>ROUND('T1 ENZV'!P79+'T1 ENZV'!P80,$D$287)</f>
        <v>0</v>
      </c>
      <c r="P289" s="51"/>
      <c r="Q289" s="672">
        <f>ROUND('T1 ENZV'!R79+'T1 ENZV'!R80,$D$287)</f>
        <v>0</v>
      </c>
    </row>
    <row r="290" spans="1:17" s="38" customFormat="1" ht="15" customHeight="1">
      <c r="A290" s="33" t="s">
        <v>60</v>
      </c>
      <c r="B290" s="673" t="s">
        <v>33</v>
      </c>
      <c r="C290" s="704" t="s">
        <v>643</v>
      </c>
      <c r="D290" s="678"/>
      <c r="E290" s="1087" t="b">
        <f>'T1 ENZV'!F64='T1'!F64</f>
        <v>1</v>
      </c>
      <c r="F290" s="1087" t="b">
        <f>'T1 ENZV'!G64='T1'!G64</f>
        <v>1</v>
      </c>
      <c r="G290" s="1087" t="b">
        <f>'T1 ENZV'!H64='T1'!H64</f>
        <v>1</v>
      </c>
      <c r="H290" s="1087" t="b">
        <f>'T1 ENZV'!I64='T1'!I64</f>
        <v>1</v>
      </c>
      <c r="I290" s="1087" t="b">
        <f>'T1 ENZV'!J64='T1'!J64</f>
        <v>1</v>
      </c>
      <c r="J290" s="1087" t="b">
        <f>'T1 ENZV'!K64='T1'!K64</f>
        <v>1</v>
      </c>
      <c r="K290" s="1087" t="b">
        <f>'T1 ENZV'!L64='T1'!L64</f>
        <v>1</v>
      </c>
      <c r="L290" s="32"/>
      <c r="M290" s="1087" t="b">
        <f>'T1 ENZV'!N64='T1'!N64</f>
        <v>1</v>
      </c>
      <c r="N290" s="1087" t="b">
        <f>'T1 ENZV'!O64='T1'!O64</f>
        <v>1</v>
      </c>
      <c r="O290" s="1087" t="b">
        <f>'T1 ENZV'!P64='T1'!P64</f>
        <v>1</v>
      </c>
      <c r="P290" s="51"/>
      <c r="Q290" s="1087" t="b">
        <f>'T1 ENZV'!R64='T1'!R64</f>
        <v>1</v>
      </c>
    </row>
    <row r="291" spans="1:17" s="44" customFormat="1" ht="15" customHeight="1" outlineLevel="1">
      <c r="A291" s="39"/>
      <c r="B291" s="676"/>
      <c r="C291" s="677" t="s">
        <v>705</v>
      </c>
      <c r="D291" s="678"/>
      <c r="E291" s="1088">
        <f>'T1 ENZV'!F64</f>
        <v>0.02</v>
      </c>
      <c r="F291" s="1088">
        <f>'T1 ENZV'!G64</f>
        <v>3.9E-2</v>
      </c>
      <c r="G291" s="1088">
        <f>'T1 ENZV'!H64</f>
        <v>1.9E-2</v>
      </c>
      <c r="H291" s="1088">
        <f>'T1 ENZV'!I64</f>
        <v>0.03</v>
      </c>
      <c r="I291" s="1088">
        <f>'T1 ENZV'!J64</f>
        <v>2.3E-2</v>
      </c>
      <c r="J291" s="1088">
        <f>'T1 ENZV'!K64</f>
        <v>1.2E-2</v>
      </c>
      <c r="K291" s="1088">
        <f>'T1 ENZV'!L64</f>
        <v>2.1999999999999999E-2</v>
      </c>
      <c r="L291" s="32"/>
      <c r="M291" s="1088">
        <f>'T1 ENZV'!N64</f>
        <v>0.02</v>
      </c>
      <c r="N291" s="1088">
        <f>'T1 ENZV'!O64</f>
        <v>0.02</v>
      </c>
      <c r="O291" s="1088">
        <f>'T1 ENZV'!P64</f>
        <v>0.02</v>
      </c>
      <c r="P291" s="51"/>
      <c r="Q291" s="1088">
        <f>'T1 ENZV'!R64</f>
        <v>1.2E-2</v>
      </c>
    </row>
    <row r="292" spans="1:17" s="44" customFormat="1" ht="15" customHeight="1" outlineLevel="1">
      <c r="A292" s="39"/>
      <c r="B292" s="676"/>
      <c r="C292" s="677" t="s">
        <v>63</v>
      </c>
      <c r="D292" s="678"/>
      <c r="E292" s="47">
        <f>'T1'!F64</f>
        <v>0.02</v>
      </c>
      <c r="F292" s="47">
        <f>'T1'!G64</f>
        <v>3.9E-2</v>
      </c>
      <c r="G292" s="47">
        <f>'T1'!H64</f>
        <v>1.9E-2</v>
      </c>
      <c r="H292" s="47">
        <f>'T1'!I64</f>
        <v>0.03</v>
      </c>
      <c r="I292" s="47">
        <f>'T1'!J64</f>
        <v>2.3E-2</v>
      </c>
      <c r="J292" s="47">
        <f>'T1'!K64</f>
        <v>1.2E-2</v>
      </c>
      <c r="K292" s="47">
        <f>'T1'!L64</f>
        <v>2.1999999999999999E-2</v>
      </c>
      <c r="L292" s="32"/>
      <c r="M292" s="47">
        <f>'T1'!N64</f>
        <v>0.02</v>
      </c>
      <c r="N292" s="47">
        <f>'T1'!O64</f>
        <v>0.02</v>
      </c>
      <c r="O292" s="47">
        <f>'T1'!P64</f>
        <v>0.02</v>
      </c>
      <c r="P292" s="51"/>
      <c r="Q292" s="47">
        <f>'T1'!R64</f>
        <v>1.2E-2</v>
      </c>
    </row>
    <row r="293" spans="1:17" s="38" customFormat="1" ht="15" customHeight="1">
      <c r="A293" s="1089" t="s">
        <v>64</v>
      </c>
      <c r="B293" s="673" t="s">
        <v>37</v>
      </c>
      <c r="C293" s="704" t="s">
        <v>644</v>
      </c>
      <c r="D293" s="678"/>
      <c r="E293" s="1087" t="b">
        <f>'T1 ENZV'!F65='T1'!F65</f>
        <v>1</v>
      </c>
      <c r="F293" s="1087" t="b">
        <f>'T1 ENZV'!G65='T1'!G65</f>
        <v>1</v>
      </c>
      <c r="G293" s="1087" t="b">
        <f>'T1 ENZV'!H65='T1'!H65</f>
        <v>1</v>
      </c>
      <c r="H293" s="1087" t="b">
        <f>'T1 ENZV'!I65='T1'!I65</f>
        <v>1</v>
      </c>
      <c r="I293" s="1087" t="b">
        <f>'T1 ENZV'!J65='T1'!J65</f>
        <v>1</v>
      </c>
      <c r="J293" s="1087" t="b">
        <f>'T1 ENZV'!K65='T1'!K65</f>
        <v>1</v>
      </c>
      <c r="K293" s="1087" t="b">
        <f>'T1 ENZV'!L65='T1'!L65</f>
        <v>1</v>
      </c>
      <c r="L293" s="32"/>
      <c r="M293" s="1087" t="b">
        <f>'T1 ENZV'!N65='T1'!N65</f>
        <v>1</v>
      </c>
      <c r="N293" s="1087" t="b">
        <f>'T1 ENZV'!O65='T1'!O65</f>
        <v>1</v>
      </c>
      <c r="O293" s="1087" t="b">
        <f>'T1 ENZV'!P65='T1'!P65</f>
        <v>1</v>
      </c>
      <c r="P293" s="51"/>
      <c r="Q293" s="1087" t="b">
        <f>'T1 ENZV'!R65='T1'!R65</f>
        <v>1</v>
      </c>
    </row>
    <row r="294" spans="1:17" s="44" customFormat="1" ht="15" customHeight="1" outlineLevel="1">
      <c r="A294" s="39"/>
      <c r="B294" s="676"/>
      <c r="C294" s="677" t="s">
        <v>706</v>
      </c>
      <c r="D294" s="678"/>
      <c r="E294" s="1090">
        <f>'T1 ENZV'!F65</f>
        <v>94.45180643802405</v>
      </c>
      <c r="F294" s="1090">
        <f>'T1 ENZV'!G65</f>
        <v>98.135426889106981</v>
      </c>
      <c r="G294" s="1090">
        <f>'T1 ENZV'!H65</f>
        <v>100</v>
      </c>
      <c r="H294" s="1090">
        <f>'T1 ENZV'!I65</f>
        <v>103</v>
      </c>
      <c r="I294" s="1090">
        <f>'T1 ENZV'!J65</f>
        <v>105.36899999999999</v>
      </c>
      <c r="J294" s="1090">
        <f>'T1 ENZV'!K65</f>
        <v>106.63342799999998</v>
      </c>
      <c r="K294" s="1090">
        <f>'T1 ENZV'!L65</f>
        <v>108.97936341599998</v>
      </c>
      <c r="L294" s="32"/>
      <c r="M294" s="1090">
        <f>'T1 ENZV'!N65</f>
        <v>111.15895068431999</v>
      </c>
      <c r="N294" s="1090">
        <f>'T1 ENZV'!O65</f>
        <v>113.38212969800639</v>
      </c>
      <c r="O294" s="1090">
        <f>'T1 ENZV'!P65</f>
        <v>115.64977229196653</v>
      </c>
      <c r="P294" s="51"/>
      <c r="Q294" s="1090">
        <f>'T1 ENZV'!R65</f>
        <v>106.63342799999998</v>
      </c>
    </row>
    <row r="295" spans="1:17" s="44" customFormat="1" ht="15" customHeight="1" outlineLevel="1">
      <c r="A295" s="39"/>
      <c r="B295" s="676"/>
      <c r="C295" s="677" t="s">
        <v>645</v>
      </c>
      <c r="D295" s="678"/>
      <c r="E295" s="1090">
        <f>'T1'!F65</f>
        <v>94.45180643802405</v>
      </c>
      <c r="F295" s="1090">
        <f>'T1'!G65</f>
        <v>98.135426889106981</v>
      </c>
      <c r="G295" s="1090">
        <f>'T1'!H65</f>
        <v>100</v>
      </c>
      <c r="H295" s="1090">
        <f>'T1'!I65</f>
        <v>103</v>
      </c>
      <c r="I295" s="1090">
        <f>'T1'!J65</f>
        <v>105.36899999999999</v>
      </c>
      <c r="J295" s="1090">
        <f>'T1'!K65</f>
        <v>106.63342799999998</v>
      </c>
      <c r="K295" s="1090">
        <f>'T1'!L65</f>
        <v>108.97936341599998</v>
      </c>
      <c r="L295" s="32"/>
      <c r="M295" s="1090">
        <f>'T1'!N65</f>
        <v>111.15895068431999</v>
      </c>
      <c r="N295" s="1090">
        <f>'T1'!O65</f>
        <v>113.38212969800639</v>
      </c>
      <c r="O295" s="1090">
        <f>'T1'!P65</f>
        <v>115.64977229196653</v>
      </c>
      <c r="P295" s="51"/>
      <c r="Q295" s="1090">
        <f>'T1'!R65</f>
        <v>106.63342799999998</v>
      </c>
    </row>
    <row r="296" spans="1:17" s="38" customFormat="1" ht="15" customHeight="1">
      <c r="A296" s="33" t="s">
        <v>68</v>
      </c>
      <c r="B296" s="673" t="s">
        <v>69</v>
      </c>
      <c r="C296" s="59" t="s">
        <v>70</v>
      </c>
      <c r="D296" s="675">
        <v>3</v>
      </c>
      <c r="E296" s="37" t="b">
        <f>IF('T1 ENZV'!F39&gt;0,ROUND('T1 ENZV'!F41,$D$296)=ROUND('T1 ENZV'!F16/'T1 ENZV'!F39,$D$296),"N/A")</f>
        <v>1</v>
      </c>
      <c r="F296" s="37" t="b">
        <f>IF('T1 ENZV'!G39&gt;0,ROUND('T1 ENZV'!G41,$D$296)=ROUND('T1 ENZV'!G16/'T1 ENZV'!G39,$D$296),"N/A")</f>
        <v>1</v>
      </c>
      <c r="G296" s="37" t="b">
        <f>IF('T1 ENZV'!H39&gt;0,ROUND('T1 ENZV'!H41,$D$296)=ROUND('T1 ENZV'!H16/'T1 ENZV'!H39,$D$296),"N/A")</f>
        <v>1</v>
      </c>
      <c r="H296" s="37" t="b">
        <f>IF('T1 ENZV'!I39&gt;0,ROUND('T1 ENZV'!I41,$D$296)=ROUND('T1 ENZV'!I16/'T1 ENZV'!I39,$D$296),"N/A")</f>
        <v>1</v>
      </c>
      <c r="I296" s="37" t="b">
        <f>IF('T1 ENZV'!J39&gt;0,ROUND('T1 ENZV'!J41,$D$296)=ROUND('T1 ENZV'!J16/'T1 ENZV'!J39,$D$296),"N/A")</f>
        <v>1</v>
      </c>
      <c r="J296" s="37" t="b">
        <f>IF('T1 ENZV'!K39&gt;0,ROUND('T1 ENZV'!K41,$D$296)=ROUND('T1 ENZV'!K16/'T1 ENZV'!K39,$D$296),"N/A")</f>
        <v>1</v>
      </c>
      <c r="K296" s="37" t="b">
        <f>IF('T1 ENZV'!L39&gt;0,ROUND('T1 ENZV'!L41,$D$296)=ROUND('T1 ENZV'!L16/'T1 ENZV'!L39,$D$296),"N/A")</f>
        <v>1</v>
      </c>
      <c r="L296" s="32"/>
      <c r="M296" s="37" t="b">
        <f>IF('T1 ENZV'!N39&gt;0,ROUND('T1 ENZV'!N41,$D$296)=ROUND('T1 ENZV'!N16/'T1 ENZV'!N39,$D$296),"N/A")</f>
        <v>1</v>
      </c>
      <c r="N296" s="37" t="b">
        <f>IF('T1 ENZV'!O39&gt;0,ROUND('T1 ENZV'!O41,$D$296)=ROUND('T1 ENZV'!O16/'T1 ENZV'!O39,$D$296),"N/A")</f>
        <v>1</v>
      </c>
      <c r="O296" s="37" t="b">
        <f>IF('T1 ENZV'!P39&gt;0,ROUND('T1 ENZV'!P41,$D$296)=ROUND('T1 ENZV'!P16/'T1 ENZV'!P39,$D$296),"N/A")</f>
        <v>1</v>
      </c>
      <c r="P296" s="51"/>
      <c r="Q296" s="37" t="b">
        <f>IF('T1 ENZV'!R39&gt;0,ROUND('T1 ENZV'!R41,$D$296)=ROUND('T1 ENZV'!R16/'T1 ENZV'!R39,$D$296),"N/A")</f>
        <v>1</v>
      </c>
    </row>
    <row r="297" spans="1:17" s="44" customFormat="1" ht="15" customHeight="1" outlineLevel="1">
      <c r="A297" s="39"/>
      <c r="B297" s="676"/>
      <c r="C297" s="1091" t="s">
        <v>646</v>
      </c>
      <c r="D297" s="678"/>
      <c r="E297" s="60">
        <f>IF('T1 ENZV'!F39&gt;0,ROUND('T1 ENZV'!F41,$D$296),"N/A")</f>
        <v>7.5999999999999998E-2</v>
      </c>
      <c r="F297" s="60">
        <f>IF('T1 ENZV'!G39&gt;0,ROUND('T1 ENZV'!G41,$D$296),"N/A")</f>
        <v>7.5999999999999998E-2</v>
      </c>
      <c r="G297" s="60">
        <f>IF('T1 ENZV'!H39&gt;0,ROUND('T1 ENZV'!H41,$D$296),"N/A")</f>
        <v>7.5999999999999998E-2</v>
      </c>
      <c r="H297" s="60">
        <f>IF('T1 ENZV'!I39&gt;0,ROUND('T1 ENZV'!I41,$D$296),"N/A")</f>
        <v>7.5999999999999998E-2</v>
      </c>
      <c r="I297" s="60">
        <f>IF('T1 ENZV'!J39&gt;0,ROUND('T1 ENZV'!J41,$D$296),"N/A")</f>
        <v>7.5999999999999998E-2</v>
      </c>
      <c r="J297" s="60">
        <f>IF('T1 ENZV'!K39&gt;0,ROUND('T1 ENZV'!K41,$D$296),"N/A")</f>
        <v>5.8999999999999997E-2</v>
      </c>
      <c r="K297" s="60">
        <f>IF('T1 ENZV'!L39&gt;0,ROUND('T1 ENZV'!L41,$D$296),"N/A")</f>
        <v>5.8999999999999997E-2</v>
      </c>
      <c r="L297" s="32"/>
      <c r="M297" s="60">
        <f>IF('T1 ENZV'!N39&gt;0,ROUND('T1 ENZV'!N41,$D$296),"N/A")</f>
        <v>5.8999999999999997E-2</v>
      </c>
      <c r="N297" s="60">
        <f>IF('T1 ENZV'!O39&gt;0,ROUND('T1 ENZV'!O41,$D$296),"N/A")</f>
        <v>5.8999999999999997E-2</v>
      </c>
      <c r="O297" s="60">
        <f>IF('T1 ENZV'!P39&gt;0,ROUND('T1 ENZV'!P41,$D$296),"N/A")</f>
        <v>5.8999999999999997E-2</v>
      </c>
      <c r="P297" s="51"/>
      <c r="Q297" s="60">
        <f>IF('T1 ENZV'!R39&gt;0,ROUND('T1 ENZV'!R41,$D$296),"N/A")</f>
        <v>5.8999999999999997E-2</v>
      </c>
    </row>
    <row r="298" spans="1:17" s="44" customFormat="1" ht="15" customHeight="1" outlineLevel="1">
      <c r="A298" s="39"/>
      <c r="B298" s="676"/>
      <c r="C298" s="1091" t="s">
        <v>647</v>
      </c>
      <c r="D298" s="678"/>
      <c r="E298" s="60">
        <f>IF('T1 ENZV'!F39&gt;0,ROUND('T1 ENZV'!F16/'T1 ENZV'!F39,$D$296),"N/A")</f>
        <v>7.5999999999999998E-2</v>
      </c>
      <c r="F298" s="60">
        <f>IF('T1 ENZV'!G39&gt;0,ROUND('T1 ENZV'!G16/'T1 ENZV'!G39,$D$296),"N/A")</f>
        <v>7.5999999999999998E-2</v>
      </c>
      <c r="G298" s="60">
        <f>IF('T1 ENZV'!H39&gt;0,ROUND('T1 ENZV'!H16/'T1 ENZV'!H39,$D$296),"N/A")</f>
        <v>7.5999999999999998E-2</v>
      </c>
      <c r="H298" s="60">
        <f>IF('T1 ENZV'!I39&gt;0,ROUND('T1 ENZV'!I16/'T1 ENZV'!I39,$D$296),"N/A")</f>
        <v>7.5999999999999998E-2</v>
      </c>
      <c r="I298" s="60">
        <f>IF('T1 ENZV'!J39&gt;0,ROUND('T1 ENZV'!J16/'T1 ENZV'!J39,$D$296),"N/A")</f>
        <v>7.5999999999999998E-2</v>
      </c>
      <c r="J298" s="60">
        <f>IF('T1 ENZV'!K39&gt;0,ROUND('T1 ENZV'!K16/'T1 ENZV'!K39,$D$296),"N/A")</f>
        <v>5.8999999999999997E-2</v>
      </c>
      <c r="K298" s="60">
        <f>IF('T1 ENZV'!L39&gt;0,ROUND('T1 ENZV'!L16/'T1 ENZV'!L39,$D$296),"N/A")</f>
        <v>5.8999999999999997E-2</v>
      </c>
      <c r="L298" s="32"/>
      <c r="M298" s="60">
        <f>IF('T1 ENZV'!N39&gt;0,ROUND('T1 ENZV'!N16/'T1 ENZV'!N39,$D$296),"N/A")</f>
        <v>5.8999999999999997E-2</v>
      </c>
      <c r="N298" s="60">
        <f>IF('T1 ENZV'!O39&gt;0,ROUND('T1 ENZV'!O16/'T1 ENZV'!O39,$D$296),"N/A")</f>
        <v>5.8999999999999997E-2</v>
      </c>
      <c r="O298" s="60">
        <f>IF('T1 ENZV'!P39&gt;0,ROUND('T1 ENZV'!P16/'T1 ENZV'!P39,$D$296),"N/A")</f>
        <v>5.8999999999999997E-2</v>
      </c>
      <c r="P298" s="51"/>
      <c r="Q298" s="60">
        <f>IF('T1 ENZV'!R39&gt;0,ROUND('T1 ENZV'!R16/'T1 ENZV'!R39,$D$296),"N/A")</f>
        <v>5.8999999999999997E-2</v>
      </c>
    </row>
    <row r="299" spans="1:17" s="38" customFormat="1" ht="15" customHeight="1">
      <c r="A299" s="33" t="s">
        <v>78</v>
      </c>
      <c r="B299" s="673" t="s">
        <v>79</v>
      </c>
      <c r="C299" s="704" t="s">
        <v>80</v>
      </c>
      <c r="D299" s="675">
        <v>3</v>
      </c>
      <c r="E299" s="37" t="b">
        <f>ROUND(SUM('T1 ENZV'!F36:F38),$D$299)=ROUND('T1 ENZV'!F39,$D$299)</f>
        <v>1</v>
      </c>
      <c r="F299" s="37" t="b">
        <f>ROUND(SUM('T1 ENZV'!G36:G38),$D$299)=ROUND('T1 ENZV'!G39,$D$299)</f>
        <v>1</v>
      </c>
      <c r="G299" s="37" t="b">
        <f>ROUND(SUM('T1 ENZV'!H36:H38),$D$299)=ROUND('T1 ENZV'!H39,$D$299)</f>
        <v>1</v>
      </c>
      <c r="H299" s="37" t="b">
        <f>ROUND(SUM('T1 ENZV'!I36:I38),$D$299)=ROUND('T1 ENZV'!I39,$D$299)</f>
        <v>1</v>
      </c>
      <c r="I299" s="37" t="b">
        <f>ROUND(SUM('T1 ENZV'!J36:J38),$D$299)=ROUND('T1 ENZV'!J39,$D$299)</f>
        <v>1</v>
      </c>
      <c r="J299" s="37" t="b">
        <f>ROUND(SUM('T1 ENZV'!K36:K38),$D$299)=ROUND('T1 ENZV'!K39,$D$299)</f>
        <v>1</v>
      </c>
      <c r="K299" s="37" t="b">
        <f>ROUND(SUM('T1 ENZV'!L36:L38),$D$299)=ROUND('T1 ENZV'!L39,$D$299)</f>
        <v>1</v>
      </c>
      <c r="L299" s="32"/>
      <c r="M299" s="37" t="b">
        <f>ROUND(SUM('T1 ENZV'!N36:N38),$D$299)=ROUND('T1 ENZV'!N39,$D$299)</f>
        <v>1</v>
      </c>
      <c r="N299" s="37" t="b">
        <f>ROUND(SUM('T1 ENZV'!O36:O38),$D$299)=ROUND('T1 ENZV'!O39,$D$299)</f>
        <v>1</v>
      </c>
      <c r="O299" s="37" t="b">
        <f>ROUND(SUM('T1 ENZV'!P36:P38),$D$299)=ROUND('T1 ENZV'!P39,$D$299)</f>
        <v>1</v>
      </c>
      <c r="P299" s="51"/>
      <c r="Q299" s="37" t="b">
        <f>ROUND(SUM('T1 ENZV'!R36:R38),$D$299)=ROUND('T1 ENZV'!R39,$D$299)</f>
        <v>1</v>
      </c>
    </row>
    <row r="300" spans="1:17" s="44" customFormat="1" ht="15" customHeight="1" outlineLevel="1">
      <c r="A300" s="39"/>
      <c r="B300" s="676"/>
      <c r="C300" s="677" t="s">
        <v>81</v>
      </c>
      <c r="D300" s="678"/>
      <c r="E300" s="672">
        <f>ROUND(SUM('T1 ENZV'!F36:F38),$D$299)</f>
        <v>22734.895</v>
      </c>
      <c r="F300" s="672">
        <f>ROUND(SUM('T1 ENZV'!G36:G38),$D$299)</f>
        <v>114157</v>
      </c>
      <c r="G300" s="672">
        <f>ROUND(SUM('T1 ENZV'!H36:H38),$D$299)</f>
        <v>122119.395</v>
      </c>
      <c r="H300" s="672">
        <f>ROUND(SUM('T1 ENZV'!I36:I38),$D$299)</f>
        <v>122231.421</v>
      </c>
      <c r="I300" s="672">
        <f>ROUND(SUM('T1 ENZV'!J36:J38),$D$299)</f>
        <v>88353.02</v>
      </c>
      <c r="J300" s="672">
        <f>ROUND(SUM('T1 ENZV'!K36:K38),$D$299)</f>
        <v>92487.475000000006</v>
      </c>
      <c r="K300" s="672">
        <f>ROUND(SUM('T1 ENZV'!L36:L38),$D$299)</f>
        <v>105988.584</v>
      </c>
      <c r="L300" s="32"/>
      <c r="M300" s="672">
        <f>ROUND(SUM('T1 ENZV'!N36:N38),$D$299)</f>
        <v>105735.02899999999</v>
      </c>
      <c r="N300" s="672">
        <f>ROUND(SUM('T1 ENZV'!O36:O38),$D$299)</f>
        <v>105350.21400000001</v>
      </c>
      <c r="O300" s="672">
        <f>ROUND(SUM('T1 ENZV'!P36:P38),$D$299)</f>
        <v>98267.034</v>
      </c>
      <c r="P300" s="51"/>
      <c r="Q300" s="672">
        <f>ROUND(SUM('T1 ENZV'!R36:R38),$D$299)</f>
        <v>92487.475000000006</v>
      </c>
    </row>
    <row r="301" spans="1:17" s="44" customFormat="1" ht="15" customHeight="1" outlineLevel="1">
      <c r="A301" s="39"/>
      <c r="B301" s="676"/>
      <c r="C301" s="677" t="s">
        <v>82</v>
      </c>
      <c r="D301" s="678"/>
      <c r="E301" s="672">
        <f>ROUND('T1 ENZV'!F39,$D$299)</f>
        <v>22734.895</v>
      </c>
      <c r="F301" s="672">
        <f>ROUND('T1 ENZV'!G39,$D$299)</f>
        <v>114157</v>
      </c>
      <c r="G301" s="672">
        <f>ROUND('T1 ENZV'!H39,$D$299)</f>
        <v>122119.395</v>
      </c>
      <c r="H301" s="672">
        <f>ROUND('T1 ENZV'!I39,$D$299)</f>
        <v>122231.421</v>
      </c>
      <c r="I301" s="672">
        <f>ROUND('T1 ENZV'!J39,$D$299)</f>
        <v>88353.02</v>
      </c>
      <c r="J301" s="672">
        <f>ROUND('T1 ENZV'!K39,$D$299)</f>
        <v>92487.475000000006</v>
      </c>
      <c r="K301" s="672">
        <f>ROUND('T1 ENZV'!L39,$D$299)</f>
        <v>105988.584</v>
      </c>
      <c r="L301" s="32"/>
      <c r="M301" s="672">
        <f>ROUND('T1 ENZV'!N39,$D$299)</f>
        <v>105735.02899999999</v>
      </c>
      <c r="N301" s="672">
        <f>ROUND('T1 ENZV'!O39,$D$299)</f>
        <v>105350.21400000001</v>
      </c>
      <c r="O301" s="672">
        <f>ROUND('T1 ENZV'!P39,$D$299)</f>
        <v>98267.034</v>
      </c>
      <c r="P301" s="51"/>
      <c r="Q301" s="672">
        <f>ROUND('T1 ENZV'!R39,$D$299)</f>
        <v>92487.475000000006</v>
      </c>
    </row>
    <row r="302" spans="1:17" s="38" customFormat="1" ht="15" customHeight="1">
      <c r="A302" s="33" t="s">
        <v>83</v>
      </c>
      <c r="B302" s="673" t="s">
        <v>79</v>
      </c>
      <c r="C302" s="674" t="s">
        <v>84</v>
      </c>
      <c r="D302" s="675">
        <v>3</v>
      </c>
      <c r="E302" s="37" t="b">
        <f>IF(ROUND('T1 ENZV'!F39,$D$302)=0,ROUND('T1 ENZV'!F16,$D$302)=0,TRUE)</f>
        <v>1</v>
      </c>
      <c r="F302" s="37" t="b">
        <f>IF(ROUND('T1 ENZV'!G39,$D$302)=0,ROUND('T1 ENZV'!G16,$D$302)=0,TRUE)</f>
        <v>1</v>
      </c>
      <c r="G302" s="37" t="b">
        <f>IF(ROUND('T1 ENZV'!H39,$D$302)=0,ROUND('T1 ENZV'!H16,$D$302)=0,TRUE)</f>
        <v>1</v>
      </c>
      <c r="H302" s="37" t="b">
        <f>IF(ROUND('T1 ENZV'!I39,$D$302)=0,ROUND('T1 ENZV'!I16,$D$302)=0,TRUE)</f>
        <v>1</v>
      </c>
      <c r="I302" s="37" t="b">
        <f>IF(ROUND('T1 ENZV'!J39,$D$302)=0,ROUND('T1 ENZV'!J16,$D$302)=0,TRUE)</f>
        <v>1</v>
      </c>
      <c r="J302" s="37" t="b">
        <f>IF(ROUND('T1 ENZV'!K39,$D$302)=0,ROUND('T1 ENZV'!K16,$D$302)=0,TRUE)</f>
        <v>1</v>
      </c>
      <c r="K302" s="37" t="b">
        <f>IF(ROUND('T1 ENZV'!L39,$D$302)=0,ROUND('T1 ENZV'!L16,$D$302)=0,TRUE)</f>
        <v>1</v>
      </c>
      <c r="L302" s="32"/>
      <c r="M302" s="37" t="b">
        <f>IF(ROUND('T1 ENZV'!N39,$D$302)=0,ROUND('T1 ENZV'!N16,$D$302)=0,TRUE)</f>
        <v>1</v>
      </c>
      <c r="N302" s="37" t="b">
        <f>IF(ROUND('T1 ENZV'!O39,$D$302)=0,ROUND('T1 ENZV'!O16,$D$302)=0,TRUE)</f>
        <v>1</v>
      </c>
      <c r="O302" s="37" t="b">
        <f>IF(ROUND('T1 ENZV'!P39,$D$302)=0,ROUND('T1 ENZV'!P16,$D$302)=0,TRUE)</f>
        <v>1</v>
      </c>
      <c r="P302" s="51"/>
      <c r="Q302" s="37" t="b">
        <f>IF(ROUND('T1 ENZV'!R39,$D$302)=0,ROUND('T1 ENZV'!R16,$D$302)=0,TRUE)</f>
        <v>1</v>
      </c>
    </row>
    <row r="303" spans="1:17" s="44" customFormat="1" ht="15" customHeight="1" outlineLevel="1">
      <c r="A303" s="39"/>
      <c r="B303" s="676"/>
      <c r="C303" s="677" t="s">
        <v>82</v>
      </c>
      <c r="D303" s="678"/>
      <c r="E303" s="672">
        <f>ROUND('T1 ENZV'!F39,$D$302)</f>
        <v>22734.895</v>
      </c>
      <c r="F303" s="672">
        <f>ROUND('T1 ENZV'!G39,$D$302)</f>
        <v>114157</v>
      </c>
      <c r="G303" s="672">
        <f>ROUND('T1 ENZV'!H39,$D$302)</f>
        <v>122119.395</v>
      </c>
      <c r="H303" s="672">
        <f>ROUND('T1 ENZV'!I39,$D$302)</f>
        <v>122231.421</v>
      </c>
      <c r="I303" s="672">
        <f>ROUND('T1 ENZV'!J39,$D$302)</f>
        <v>88353.02</v>
      </c>
      <c r="J303" s="672">
        <f>ROUND('T1 ENZV'!K39,$D$302)</f>
        <v>92487.475000000006</v>
      </c>
      <c r="K303" s="672">
        <f>ROUND('T1 ENZV'!L39,$D$302)</f>
        <v>105988.584</v>
      </c>
      <c r="L303" s="32"/>
      <c r="M303" s="672">
        <f>ROUND('T1 ENZV'!N39,$D$302)</f>
        <v>105735.02899999999</v>
      </c>
      <c r="N303" s="672">
        <f>ROUND('T1 ENZV'!O39,$D$302)</f>
        <v>105350.21400000001</v>
      </c>
      <c r="O303" s="672">
        <f>ROUND('T1 ENZV'!P39,$D$302)</f>
        <v>98267.034</v>
      </c>
      <c r="P303" s="51"/>
      <c r="Q303" s="672">
        <f>ROUND('T1 ENZV'!R39,$D$302)</f>
        <v>92487.475000000006</v>
      </c>
    </row>
    <row r="304" spans="1:17" s="44" customFormat="1" ht="15" customHeight="1" outlineLevel="1">
      <c r="A304" s="39"/>
      <c r="B304" s="676"/>
      <c r="C304" s="677" t="s">
        <v>85</v>
      </c>
      <c r="D304" s="678"/>
      <c r="E304" s="672">
        <f>ROUND('T1 ENZV'!F16,$D$302)</f>
        <v>1727.8520000000001</v>
      </c>
      <c r="F304" s="672">
        <f>ROUND('T1 ENZV'!G16,$D$302)</f>
        <v>8675.9220000000005</v>
      </c>
      <c r="G304" s="672">
        <f>ROUND('T1 ENZV'!H16,$D$302)</f>
        <v>9281.0740000000005</v>
      </c>
      <c r="H304" s="672">
        <f>ROUND('T1 ENZV'!I16,$D$302)</f>
        <v>9289.5879999999997</v>
      </c>
      <c r="I304" s="672">
        <f>ROUND('T1 ENZV'!J16,$D$302)</f>
        <v>6714.8289999999997</v>
      </c>
      <c r="J304" s="672">
        <f>ROUND('T1 ENZV'!K16,$D$302)</f>
        <v>5410.5169999999998</v>
      </c>
      <c r="K304" s="672">
        <f>ROUND('T1 ENZV'!L16,$D$302)</f>
        <v>6200.3320000000003</v>
      </c>
      <c r="L304" s="32"/>
      <c r="M304" s="672">
        <f>ROUND('T1 ENZV'!N16,$D$302)</f>
        <v>6185.4989999999998</v>
      </c>
      <c r="N304" s="672">
        <f>ROUND('T1 ENZV'!O16,$D$302)</f>
        <v>6162.9880000000003</v>
      </c>
      <c r="O304" s="672">
        <f>ROUND('T1 ENZV'!P16,$D$302)</f>
        <v>5748.6210000000001</v>
      </c>
      <c r="P304" s="51"/>
      <c r="Q304" s="672">
        <f>ROUND('T1 ENZV'!R16,$D$302)</f>
        <v>5410.5169999999998</v>
      </c>
    </row>
    <row r="305" spans="1:17" s="51" customFormat="1" ht="20.100000000000001" customHeight="1">
      <c r="A305" s="27" t="s">
        <v>13</v>
      </c>
      <c r="B305" s="28" t="s">
        <v>14</v>
      </c>
      <c r="C305" s="29" t="s">
        <v>707</v>
      </c>
      <c r="D305" s="49"/>
      <c r="E305" s="50"/>
      <c r="F305" s="50"/>
      <c r="G305" s="50"/>
      <c r="H305" s="50"/>
      <c r="I305" s="50"/>
      <c r="J305" s="50"/>
      <c r="K305" s="50"/>
      <c r="L305" s="50"/>
      <c r="M305" s="50"/>
      <c r="N305" s="50"/>
      <c r="O305" s="50"/>
      <c r="Q305" s="50"/>
    </row>
    <row r="306" spans="1:17" s="38" customFormat="1" ht="15" customHeight="1">
      <c r="A306" s="33" t="s">
        <v>20</v>
      </c>
      <c r="B306" s="673" t="s">
        <v>21</v>
      </c>
      <c r="C306" s="704" t="s">
        <v>86</v>
      </c>
      <c r="D306" s="675">
        <v>3</v>
      </c>
      <c r="E306" s="37" t="b">
        <f>ROUND('T1 ENVA'!F18,$D$306)=ROUND(SUM('T1 ENVA'!F12,'T1 ENVA'!F14:F17),$D$306)</f>
        <v>1</v>
      </c>
      <c r="F306" s="37" t="b">
        <f>ROUND('T1 ENVA'!G18,$D$306)=ROUND(SUM('T1 ENVA'!G12,'T1 ENVA'!G14:G17),$D$306)</f>
        <v>1</v>
      </c>
      <c r="G306" s="37" t="b">
        <f>ROUND('T1 ENVA'!H18,$D$306)=ROUND(SUM('T1 ENVA'!H12,'T1 ENVA'!H14:H17),$D$306)</f>
        <v>1</v>
      </c>
      <c r="H306" s="37" t="b">
        <f>ROUND('T1 ENVA'!I18,$D$306)=ROUND(SUM('T1 ENVA'!I12,'T1 ENVA'!I14:I17),$D$306)</f>
        <v>1</v>
      </c>
      <c r="I306" s="37" t="b">
        <f>ROUND('T1 ENVA'!J18,$D$306)=ROUND(SUM('T1 ENVA'!J12,'T1 ENVA'!J14:J17),$D$306)</f>
        <v>1</v>
      </c>
      <c r="J306" s="37" t="b">
        <f>ROUND('T1 ENVA'!K18,$D$306)=ROUND(SUM('T1 ENVA'!K12,'T1 ENVA'!K14:K17),$D$306)</f>
        <v>1</v>
      </c>
      <c r="K306" s="37" t="b">
        <f>ROUND('T1 ENVA'!L18,$D$306)=ROUND(SUM('T1 ENVA'!L12,'T1 ENVA'!L14:L17),$D$306)</f>
        <v>1</v>
      </c>
      <c r="L306" s="37" t="b">
        <f>ROUND('T1 ENVA'!M18,$D$306)=ROUND(SUM('T1 ENVA'!M12,'T1 ENVA'!M14:M17),$D$306)</f>
        <v>1</v>
      </c>
      <c r="M306" s="37" t="b">
        <f>ROUND('T1 ENVA'!N18,$D$306)=ROUND(SUM('T1 ENVA'!N12,'T1 ENVA'!N14:N17),$D$306)</f>
        <v>1</v>
      </c>
      <c r="N306" s="37" t="b">
        <f>ROUND('T1 ENVA'!O18,$D$306)=ROUND(SUM('T1 ENVA'!O12,'T1 ENVA'!O14:O17),$D$306)</f>
        <v>1</v>
      </c>
      <c r="O306" s="37" t="b">
        <f>ROUND('T1 ENVA'!P18,$D$306)=ROUND(SUM('T1 ENVA'!P12,'T1 ENVA'!P14:P17),$D$306)</f>
        <v>1</v>
      </c>
      <c r="P306" s="51"/>
      <c r="Q306" s="37" t="b">
        <f>ROUND('T1 ENVA'!R18,$D$306)=ROUND(SUM('T1 ENVA'!R12,'T1 ENVA'!R14:R17),$D$306)</f>
        <v>1</v>
      </c>
    </row>
    <row r="307" spans="1:17" s="44" customFormat="1" ht="15" customHeight="1" outlineLevel="1">
      <c r="A307" s="39"/>
      <c r="B307" s="676"/>
      <c r="C307" s="677" t="s">
        <v>23</v>
      </c>
      <c r="D307" s="678"/>
      <c r="E307" s="672">
        <f>ROUND('T1 ENVA'!F18,$D$306)</f>
        <v>66675.868000000002</v>
      </c>
      <c r="F307" s="672">
        <f>ROUND('T1 ENVA'!G18,$D$306)</f>
        <v>70786</v>
      </c>
      <c r="G307" s="672">
        <f>ROUND('T1 ENVA'!H18,$D$306)</f>
        <v>65453.173999999999</v>
      </c>
      <c r="H307" s="672">
        <f>ROUND('T1 ENVA'!I18,$D$306)</f>
        <v>68940.236999999994</v>
      </c>
      <c r="I307" s="672">
        <f>ROUND('T1 ENVA'!J18,$D$306)</f>
        <v>70600.260999999999</v>
      </c>
      <c r="J307" s="672">
        <f>ROUND('T1 ENVA'!K18,$D$306)</f>
        <v>55530.673000000003</v>
      </c>
      <c r="K307" s="672">
        <f>ROUND('T1 ENVA'!L18,$D$306)</f>
        <v>55835.218000000001</v>
      </c>
      <c r="L307" s="672">
        <f>ROUND('T1 ENVA'!M18,$D$306)</f>
        <v>111365.891</v>
      </c>
      <c r="M307" s="672">
        <f>ROUND('T1 ENVA'!N18,$D$306)</f>
        <v>56448.332000000002</v>
      </c>
      <c r="N307" s="672">
        <f>ROUND('T1 ENVA'!O18,$D$306)</f>
        <v>57418.315000000002</v>
      </c>
      <c r="O307" s="672">
        <f>ROUND('T1 ENVA'!P18,$D$306)</f>
        <v>58565.425999999999</v>
      </c>
      <c r="P307" s="51"/>
      <c r="Q307" s="672">
        <f>ROUND('T1 ENVA'!R18,$D$306)</f>
        <v>55530.673000000003</v>
      </c>
    </row>
    <row r="308" spans="1:17" s="44" customFormat="1" ht="15" customHeight="1" outlineLevel="1">
      <c r="A308" s="39"/>
      <c r="B308" s="676"/>
      <c r="C308" s="677" t="s">
        <v>24</v>
      </c>
      <c r="D308" s="678"/>
      <c r="E308" s="672">
        <f>ROUND(SUM('T1 ENVA'!F12,'T1 ENVA'!F14:F17),$D$306)</f>
        <v>66675.868000000002</v>
      </c>
      <c r="F308" s="672">
        <f>ROUND(SUM('T1 ENVA'!G12,'T1 ENVA'!G14:G17),$D$306)</f>
        <v>70786</v>
      </c>
      <c r="G308" s="672">
        <f>ROUND(SUM('T1 ENVA'!H12,'T1 ENVA'!H14:H17),$D$306)</f>
        <v>65453.173999999999</v>
      </c>
      <c r="H308" s="672">
        <f>ROUND(SUM('T1 ENVA'!I12,'T1 ENVA'!I14:I17),$D$306)</f>
        <v>68940.236999999994</v>
      </c>
      <c r="I308" s="672">
        <f>ROUND(SUM('T1 ENVA'!J12,'T1 ENVA'!J14:J17),$D$306)</f>
        <v>70600.260999999999</v>
      </c>
      <c r="J308" s="672">
        <f>ROUND(SUM('T1 ENVA'!K12,'T1 ENVA'!K14:K17),$D$306)</f>
        <v>55530.673000000003</v>
      </c>
      <c r="K308" s="672">
        <f>ROUND(SUM('T1 ENVA'!L12,'T1 ENVA'!L14:L17),$D$306)</f>
        <v>55835.218000000001</v>
      </c>
      <c r="L308" s="672">
        <f>ROUND(SUM('T1 ENVA'!M12,'T1 ENVA'!M14:M17),$D$306)</f>
        <v>111365.891</v>
      </c>
      <c r="M308" s="672">
        <f>ROUND(SUM('T1 ENVA'!N12,'T1 ENVA'!N14:N17),$D$306)</f>
        <v>56448.332000000002</v>
      </c>
      <c r="N308" s="672">
        <f>ROUND(SUM('T1 ENVA'!O12,'T1 ENVA'!O14:O17),$D$306)</f>
        <v>57418.315000000002</v>
      </c>
      <c r="O308" s="672">
        <f>ROUND(SUM('T1 ENVA'!P12,'T1 ENVA'!P14:P17),$D$306)</f>
        <v>58565.425999999999</v>
      </c>
      <c r="P308" s="51"/>
      <c r="Q308" s="672">
        <f>ROUND(SUM('T1 ENVA'!R12,'T1 ENVA'!R14:R17),$D$306)</f>
        <v>55530.673000000003</v>
      </c>
    </row>
    <row r="309" spans="1:17" s="38" customFormat="1" ht="15" customHeight="1">
      <c r="A309" s="33" t="s">
        <v>25</v>
      </c>
      <c r="B309" s="673" t="s">
        <v>26</v>
      </c>
      <c r="C309" s="704" t="s">
        <v>27</v>
      </c>
      <c r="D309" s="675">
        <v>3</v>
      </c>
      <c r="E309" s="37" t="b">
        <f>ROUND('T1 ENVA'!F31,$D$309)=ROUND(SUM('T1 ENVA'!F22:F30),$D$309)</f>
        <v>1</v>
      </c>
      <c r="F309" s="37" t="b">
        <f>ROUND('T1 ENVA'!G31,$D$309)=ROUND(SUM('T1 ENVA'!G22:G30),$D$309)</f>
        <v>1</v>
      </c>
      <c r="G309" s="37" t="b">
        <f>ROUND('T1 ENVA'!H31,$D$309)=ROUND(SUM('T1 ENVA'!H22:H30),$D$309)</f>
        <v>1</v>
      </c>
      <c r="H309" s="37" t="b">
        <f>ROUND('T1 ENVA'!I31,$D$309)=ROUND(SUM('T1 ENVA'!I22:I30),$D$309)</f>
        <v>1</v>
      </c>
      <c r="I309" s="37" t="b">
        <f>ROUND('T1 ENVA'!J31,$D$309)=ROUND(SUM('T1 ENVA'!J22:J30),$D$309)</f>
        <v>1</v>
      </c>
      <c r="J309" s="37" t="b">
        <f>ROUND('T1 ENVA'!K31,$D$309)=ROUND(SUM('T1 ENVA'!K22:K30),$D$309)</f>
        <v>1</v>
      </c>
      <c r="K309" s="37" t="b">
        <f>ROUND('T1 ENVA'!L31,$D$309)=ROUND(SUM('T1 ENVA'!L22:L30),$D$309)</f>
        <v>1</v>
      </c>
      <c r="L309" s="37" t="b">
        <f>ROUND('T1 ENVA'!M31,$D$309)=ROUND(SUM('T1 ENVA'!M22:M30),$D$309)</f>
        <v>1</v>
      </c>
      <c r="M309" s="37" t="b">
        <f>ROUND('T1 ENVA'!N31,$D$309)=ROUND(SUM('T1 ENVA'!N22:N30),$D$309)</f>
        <v>1</v>
      </c>
      <c r="N309" s="37" t="b">
        <f>ROUND('T1 ENVA'!O31,$D$309)=ROUND(SUM('T1 ENVA'!O22:O30),$D$309)</f>
        <v>1</v>
      </c>
      <c r="O309" s="37" t="b">
        <f>ROUND('T1 ENVA'!P31,$D$309)=ROUND(SUM('T1 ENVA'!P22:P30),$D$309)</f>
        <v>1</v>
      </c>
      <c r="P309" s="51"/>
      <c r="Q309" s="37" t="b">
        <f>ROUND('T1 ENVA'!R31,$D$309)=ROUND(SUM('T1 ENVA'!R22:R30),$D$309)</f>
        <v>1</v>
      </c>
    </row>
    <row r="310" spans="1:17" s="44" customFormat="1" ht="15" customHeight="1" outlineLevel="1">
      <c r="A310" s="39"/>
      <c r="B310" s="676"/>
      <c r="C310" s="677" t="s">
        <v>28</v>
      </c>
      <c r="D310" s="678"/>
      <c r="E310" s="672">
        <f>ROUND('T1 ENVA'!F31,$D$309)</f>
        <v>66675.868000000002</v>
      </c>
      <c r="F310" s="672">
        <f>ROUND('T1 ENVA'!G31,$D$309)</f>
        <v>70786</v>
      </c>
      <c r="G310" s="672">
        <f>ROUND('T1 ENVA'!H31,$D$309)</f>
        <v>65453.173999999999</v>
      </c>
      <c r="H310" s="672">
        <f>ROUND('T1 ENVA'!I31,$D$309)</f>
        <v>68940.236999999994</v>
      </c>
      <c r="I310" s="672">
        <f>ROUND('T1 ENVA'!J31,$D$309)</f>
        <v>70600.260999999999</v>
      </c>
      <c r="J310" s="672">
        <f>ROUND('T1 ENVA'!K31,$D$309)</f>
        <v>55530.673000000003</v>
      </c>
      <c r="K310" s="672">
        <f>ROUND('T1 ENVA'!L31,$D$309)</f>
        <v>55835.218000000001</v>
      </c>
      <c r="L310" s="672">
        <f>ROUND('T1 ENVA'!M31,$D$309)</f>
        <v>111365.891</v>
      </c>
      <c r="M310" s="672">
        <f>ROUND('T1 ENVA'!N31,$D$309)</f>
        <v>56448.332000000002</v>
      </c>
      <c r="N310" s="672">
        <f>ROUND('T1 ENVA'!O31,$D$309)</f>
        <v>57418.315000000002</v>
      </c>
      <c r="O310" s="672">
        <f>ROUND('T1 ENVA'!P31,$D$309)</f>
        <v>58565.425999999999</v>
      </c>
      <c r="P310" s="51"/>
      <c r="Q310" s="672">
        <f>ROUND('T1 ENVA'!R31,$D$309)</f>
        <v>55530.673000000003</v>
      </c>
    </row>
    <row r="311" spans="1:17" s="44" customFormat="1" ht="15" customHeight="1" outlineLevel="1">
      <c r="A311" s="39"/>
      <c r="B311" s="676"/>
      <c r="C311" s="677" t="s">
        <v>29</v>
      </c>
      <c r="D311" s="678"/>
      <c r="E311" s="672">
        <f>ROUND(SUM('T1 ENVA'!F22:F30),$D$309)</f>
        <v>66675.868000000002</v>
      </c>
      <c r="F311" s="672">
        <f>ROUND(SUM('T1 ENVA'!G22:G30),$D$309)</f>
        <v>70786</v>
      </c>
      <c r="G311" s="672">
        <f>ROUND(SUM('T1 ENVA'!H22:H30),$D$309)</f>
        <v>65453.173999999999</v>
      </c>
      <c r="H311" s="672">
        <f>ROUND(SUM('T1 ENVA'!I22:I30),$D$309)</f>
        <v>68940.236999999994</v>
      </c>
      <c r="I311" s="672">
        <f>ROUND(SUM('T1 ENVA'!J22:J30),$D$309)</f>
        <v>70600.260999999999</v>
      </c>
      <c r="J311" s="672">
        <f>ROUND(SUM('T1 ENVA'!K22:K30),$D$309)</f>
        <v>55530.673000000003</v>
      </c>
      <c r="K311" s="672">
        <f>ROUND(SUM('T1 ENVA'!L22:L30),$D$309)</f>
        <v>55835.218000000001</v>
      </c>
      <c r="L311" s="672">
        <f>ROUND(SUM('T1 ENVA'!M22:M30),$D$309)</f>
        <v>111365.891</v>
      </c>
      <c r="M311" s="672">
        <f>ROUND(SUM('T1 ENVA'!N22:N30),$D$309)</f>
        <v>56448.332000000002</v>
      </c>
      <c r="N311" s="672">
        <f>ROUND(SUM('T1 ENVA'!O22:O30),$D$309)</f>
        <v>57418.315000000002</v>
      </c>
      <c r="O311" s="672">
        <f>ROUND(SUM('T1 ENVA'!P22:P30),$D$309)</f>
        <v>58565.425999999999</v>
      </c>
      <c r="P311" s="51"/>
      <c r="Q311" s="672">
        <f>ROUND(SUM('T1 ENVA'!R22:R30),$D$309)</f>
        <v>55530.673000000003</v>
      </c>
    </row>
    <row r="312" spans="1:17" s="38" customFormat="1" ht="15" customHeight="1">
      <c r="A312" s="33" t="s">
        <v>30</v>
      </c>
      <c r="B312" s="673" t="s">
        <v>26</v>
      </c>
      <c r="C312" s="704" t="s">
        <v>31</v>
      </c>
      <c r="D312" s="675">
        <v>3</v>
      </c>
      <c r="E312" s="37" t="b">
        <f>ROUND('T1 ENVA'!F18,$D$312)=ROUND('T1 ENVA'!F31,$D$312)</f>
        <v>1</v>
      </c>
      <c r="F312" s="37" t="b">
        <f>ROUND('T1 ENVA'!G18,$D$312)=ROUND('T1 ENVA'!G31,$D$312)</f>
        <v>1</v>
      </c>
      <c r="G312" s="37" t="b">
        <f>ROUND('T1 ENVA'!H18,$D$312)=ROUND('T1 ENVA'!H31,$D$312)</f>
        <v>1</v>
      </c>
      <c r="H312" s="37" t="b">
        <f>ROUND('T1 ENVA'!I18,$D$312)=ROUND('T1 ENVA'!I31,$D$312)</f>
        <v>1</v>
      </c>
      <c r="I312" s="37" t="b">
        <f>ROUND('T1 ENVA'!J18,$D$312)=ROUND('T1 ENVA'!J31,$D$312)</f>
        <v>1</v>
      </c>
      <c r="J312" s="37" t="b">
        <f>ROUND('T1 ENVA'!K18,$D$312)=ROUND('T1 ENVA'!K31,$D$312)</f>
        <v>1</v>
      </c>
      <c r="K312" s="37" t="b">
        <f>ROUND('T1 ENVA'!L18,$D$312)=ROUND('T1 ENVA'!L31,$D$312)</f>
        <v>1</v>
      </c>
      <c r="L312" s="37" t="b">
        <f>ROUND('T1 ENVA'!M18,$D$312)=ROUND('T1 ENVA'!M31,$D$312)</f>
        <v>1</v>
      </c>
      <c r="M312" s="37" t="b">
        <f>ROUND('T1 ENVA'!N18,$D$312)=ROUND('T1 ENVA'!N31,$D$312)</f>
        <v>1</v>
      </c>
      <c r="N312" s="37" t="b">
        <f>ROUND('T1 ENVA'!O18,$D$312)=ROUND('T1 ENVA'!O31,$D$312)</f>
        <v>1</v>
      </c>
      <c r="O312" s="37" t="b">
        <f>ROUND('T1 ENVA'!P18,$D$312)=ROUND('T1 ENVA'!P31,$D$312)</f>
        <v>1</v>
      </c>
      <c r="P312" s="51"/>
      <c r="Q312" s="37" t="b">
        <f>ROUND('T1 ENVA'!R18,$D$312)=ROUND('T1 ENVA'!R31,$D$312)</f>
        <v>1</v>
      </c>
    </row>
    <row r="313" spans="1:17" s="44" customFormat="1" ht="15" customHeight="1" outlineLevel="1">
      <c r="A313" s="39"/>
      <c r="B313" s="676"/>
      <c r="C313" s="677" t="s">
        <v>23</v>
      </c>
      <c r="D313" s="678"/>
      <c r="E313" s="672">
        <f>ROUND('T1 ENVA'!F18,$D$312)</f>
        <v>66675.868000000002</v>
      </c>
      <c r="F313" s="672">
        <f>ROUND('T1 ENVA'!G18,$D$312)</f>
        <v>70786</v>
      </c>
      <c r="G313" s="672">
        <f>ROUND('T1 ENVA'!H18,$D$312)</f>
        <v>65453.173999999999</v>
      </c>
      <c r="H313" s="672">
        <f>ROUND('T1 ENVA'!I18,$D$312)</f>
        <v>68940.236999999994</v>
      </c>
      <c r="I313" s="672">
        <f>ROUND('T1 ENVA'!J18,$D$312)</f>
        <v>70600.260999999999</v>
      </c>
      <c r="J313" s="672">
        <f>ROUND('T1 ENVA'!K18,$D$312)</f>
        <v>55530.673000000003</v>
      </c>
      <c r="K313" s="672">
        <f>ROUND('T1 ENVA'!L18,$D$312)</f>
        <v>55835.218000000001</v>
      </c>
      <c r="L313" s="672">
        <f>ROUND('T1 ENVA'!M18,$D$312)</f>
        <v>111365.891</v>
      </c>
      <c r="M313" s="672">
        <f>ROUND('T1 ENVA'!N18,$D$312)</f>
        <v>56448.332000000002</v>
      </c>
      <c r="N313" s="672">
        <f>ROUND('T1 ENVA'!O18,$D$312)</f>
        <v>57418.315000000002</v>
      </c>
      <c r="O313" s="672">
        <f>ROUND('T1 ENVA'!P18,$D$312)</f>
        <v>58565.425999999999</v>
      </c>
      <c r="P313" s="51"/>
      <c r="Q313" s="672">
        <f>ROUND('T1 ENVA'!R18,$D$312)</f>
        <v>55530.673000000003</v>
      </c>
    </row>
    <row r="314" spans="1:17" s="44" customFormat="1" ht="15" customHeight="1" outlineLevel="1">
      <c r="A314" s="39"/>
      <c r="B314" s="676"/>
      <c r="C314" s="677" t="s">
        <v>28</v>
      </c>
      <c r="D314" s="678"/>
      <c r="E314" s="672">
        <f>ROUND('T1 ENVA'!F31,$D$312)</f>
        <v>66675.868000000002</v>
      </c>
      <c r="F314" s="672">
        <f>ROUND('T1 ENVA'!G31,$D$312)</f>
        <v>70786</v>
      </c>
      <c r="G314" s="672">
        <f>ROUND('T1 ENVA'!H31,$D$312)</f>
        <v>65453.173999999999</v>
      </c>
      <c r="H314" s="672">
        <f>ROUND('T1 ENVA'!I31,$D$312)</f>
        <v>68940.236999999994</v>
      </c>
      <c r="I314" s="672">
        <f>ROUND('T1 ENVA'!J31,$D$312)</f>
        <v>70600.260999999999</v>
      </c>
      <c r="J314" s="672">
        <f>ROUND('T1 ENVA'!K31,$D$312)</f>
        <v>55530.673000000003</v>
      </c>
      <c r="K314" s="672">
        <f>ROUND('T1 ENVA'!L31,$D$312)</f>
        <v>55835.218000000001</v>
      </c>
      <c r="L314" s="672">
        <f>ROUND('T1 ENVA'!M31,$D$312)</f>
        <v>111365.891</v>
      </c>
      <c r="M314" s="672">
        <f>ROUND('T1 ENVA'!N31,$D$312)</f>
        <v>56448.332000000002</v>
      </c>
      <c r="N314" s="672">
        <f>ROUND('T1 ENVA'!O31,$D$312)</f>
        <v>57418.315000000002</v>
      </c>
      <c r="O314" s="672">
        <f>ROUND('T1 ENVA'!P31,$D$312)</f>
        <v>58565.425999999999</v>
      </c>
      <c r="P314" s="51"/>
      <c r="Q314" s="672">
        <f>ROUND('T1 ENVA'!R31,$D$312)</f>
        <v>55530.673000000003</v>
      </c>
    </row>
    <row r="315" spans="1:17" s="38" customFormat="1" ht="15" customHeight="1">
      <c r="A315" s="33" t="s">
        <v>50</v>
      </c>
      <c r="B315" s="673" t="s">
        <v>51</v>
      </c>
      <c r="C315" s="704" t="s">
        <v>52</v>
      </c>
      <c r="D315" s="675">
        <v>3</v>
      </c>
      <c r="E315" s="37" t="b">
        <f>ROUND(('T1 ENVA'!F61-'T1 ENVA'!F29-'T1 ENVA'!F30-'T1 ENVA'!F15-'T1 ENVA'!F16+'T1 ENVA'!F79+'T1 ENVA'!F80)/('T1 ENVA'!F65/100)+'T1 ENVA'!F29+'T1 ENVA'!F30+'T1 ENVA'!F15+'T1 ENVA'!F16-'T1 ENVA'!F79-'T1 ENVA'!F80,$D$315)=ROUND('T1 ENVA'!F66,$D$315)</f>
        <v>1</v>
      </c>
      <c r="F315" s="37" t="b">
        <f>ROUND(('T1 ENVA'!G61-'T1 ENVA'!G29-'T1 ENVA'!G30-'T1 ENVA'!G15-'T1 ENVA'!G16+'T1 ENVA'!G79+'T1 ENVA'!G80)/('T1 ENVA'!G65/100)+'T1 ENVA'!G29+'T1 ENVA'!G30+'T1 ENVA'!G15+'T1 ENVA'!G16-'T1 ENVA'!G79-'T1 ENVA'!G80,$D$315)=ROUND('T1 ENVA'!G66,$D$315)</f>
        <v>1</v>
      </c>
      <c r="G315" s="37" t="b">
        <f>ROUND(('T1 ENVA'!H61-'T1 ENVA'!H29-'T1 ENVA'!H30-'T1 ENVA'!H15-'T1 ENVA'!H16+'T1 ENVA'!H79+'T1 ENVA'!H80)/('T1 ENVA'!H65/100)+'T1 ENVA'!H29+'T1 ENVA'!H30+'T1 ENVA'!H15+'T1 ENVA'!H16-'T1 ENVA'!H79-'T1 ENVA'!H80,$D$315)=ROUND('T1 ENVA'!H66,$D$315)</f>
        <v>1</v>
      </c>
      <c r="H315" s="37" t="b">
        <f>ROUND(('T1 ENVA'!I61-'T1 ENVA'!I29-'T1 ENVA'!I30-'T1 ENVA'!I15-'T1 ENVA'!I16+'T1 ENVA'!I79+'T1 ENVA'!I80)/('T1 ENVA'!I65/100)+'T1 ENVA'!I29+'T1 ENVA'!I30+'T1 ENVA'!I15+'T1 ENVA'!I16-'T1 ENVA'!I79-'T1 ENVA'!I80,$D$315)=ROUND('T1 ENVA'!I66,$D$315)</f>
        <v>1</v>
      </c>
      <c r="I315" s="37" t="b">
        <f>ROUND(('T1 ENVA'!J61-'T1 ENVA'!J29-'T1 ENVA'!J30-'T1 ENVA'!J15-'T1 ENVA'!J16+'T1 ENVA'!J79+'T1 ENVA'!J80)/('T1 ENVA'!J65/100)+'T1 ENVA'!J29+'T1 ENVA'!J30+'T1 ENVA'!J15+'T1 ENVA'!J16-'T1 ENVA'!J79-'T1 ENVA'!J80,$D$315)=ROUND('T1 ENVA'!J66,$D$315)</f>
        <v>1</v>
      </c>
      <c r="J315" s="37" t="b">
        <f>ROUND(('T1 ENVA'!K61-'T1 ENVA'!K29-'T1 ENVA'!K30-'T1 ENVA'!K15-'T1 ENVA'!K16+'T1 ENVA'!K79+'T1 ENVA'!K80)/('T1 ENVA'!K65/100)+'T1 ENVA'!K29+'T1 ENVA'!K30+'T1 ENVA'!K15+'T1 ENVA'!K16-'T1 ENVA'!K79-'T1 ENVA'!K80,$D$315)=ROUND('T1 ENVA'!K66,$D$315)</f>
        <v>1</v>
      </c>
      <c r="K315" s="37" t="b">
        <f>ROUND(('T1 ENVA'!L61-'T1 ENVA'!L29-'T1 ENVA'!L30-'T1 ENVA'!L15-'T1 ENVA'!L16+'T1 ENVA'!L79+'T1 ENVA'!L80)/('T1 ENVA'!L65/100)+'T1 ENVA'!L29+'T1 ENVA'!L30+'T1 ENVA'!L15+'T1 ENVA'!L16-'T1 ENVA'!L79-'T1 ENVA'!L80,$D$315)=ROUND('T1 ENVA'!L66,$D$315)</f>
        <v>1</v>
      </c>
      <c r="L315" s="37" t="b">
        <f>ROUND('T1 ENVA'!K66+'T1 ENVA'!L66,$D$315)=ROUND('T1 ENVA'!M66,$D$315)</f>
        <v>1</v>
      </c>
      <c r="M315" s="37" t="b">
        <f>ROUND(('T1 ENVA'!N61-'T1 ENVA'!N29-'T1 ENVA'!N30-'T1 ENVA'!N15-'T1 ENVA'!N16+'T1 ENVA'!N79+'T1 ENVA'!N80)/('T1 ENVA'!N65/100)+'T1 ENVA'!N29+'T1 ENVA'!N30+'T1 ENVA'!N15+'T1 ENVA'!N16-'T1 ENVA'!N79-'T1 ENVA'!N80,$D$315)=ROUND('T1 ENVA'!N66,$D$315)</f>
        <v>1</v>
      </c>
      <c r="N315" s="37" t="b">
        <f>ROUND(('T1 ENVA'!O61-'T1 ENVA'!O29-'T1 ENVA'!O30-'T1 ENVA'!O15-'T1 ENVA'!O16+'T1 ENVA'!O79+'T1 ENVA'!O80)/('T1 ENVA'!O65/100)+'T1 ENVA'!O29+'T1 ENVA'!O30+'T1 ENVA'!O15+'T1 ENVA'!O16-'T1 ENVA'!O79-'T1 ENVA'!O80,$D$315)=ROUND('T1 ENVA'!O66,$D$315)</f>
        <v>1</v>
      </c>
      <c r="O315" s="37" t="b">
        <f>ROUND(('T1 ENVA'!P61-'T1 ENVA'!P29-'T1 ENVA'!P30-'T1 ENVA'!P15-'T1 ENVA'!P16+'T1 ENVA'!P79+'T1 ENVA'!P80)/('T1 ENVA'!P65/100)+'T1 ENVA'!P29+'T1 ENVA'!P30+'T1 ENVA'!P15+'T1 ENVA'!P16-'T1 ENVA'!P79-'T1 ENVA'!P80,$D$315)=ROUND('T1 ENVA'!P66,$D$315)</f>
        <v>1</v>
      </c>
      <c r="P315" s="51"/>
      <c r="Q315" s="37" t="b">
        <f>ROUND(('T1 ENVA'!R61-'T1 ENVA'!R29-'T1 ENVA'!R30-'T1 ENVA'!R15-'T1 ENVA'!R16+'T1 ENVA'!R79+'T1 ENVA'!R80)/('T1 ENVA'!R65/100)+'T1 ENVA'!R29+'T1 ENVA'!R30+'T1 ENVA'!R15+'T1 ENVA'!R16-'T1 ENVA'!R79-'T1 ENVA'!R80,$D$315)=ROUND('T1 ENVA'!R66,$D$315)</f>
        <v>1</v>
      </c>
    </row>
    <row r="316" spans="1:17" s="44" customFormat="1" ht="15" customHeight="1" outlineLevel="1">
      <c r="A316" s="39"/>
      <c r="B316" s="676"/>
      <c r="C316" s="677" t="s">
        <v>53</v>
      </c>
      <c r="D316" s="678"/>
      <c r="E316" s="672">
        <f>ROUND(('T1 ENVA'!F61-'T1 ENVA'!F29-'T1 ENVA'!F30-'T1 ENVA'!F15-'T1 ENVA'!F16+'T1 ENVA'!F79+'T1 ENVA'!F80)/('T1 ENVA'!F65/100)+'T1 ENVA'!F29+'T1 ENVA'!F30+'T1 ENVA'!F15+'T1 ENVA'!F16-'T1 ENVA'!F79-'T1 ENVA'!F80,$D$315)</f>
        <v>70069.092000000004</v>
      </c>
      <c r="F316" s="672">
        <f>ROUND(('T1 ENVA'!G61-'T1 ENVA'!G29-'T1 ENVA'!G30-'T1 ENVA'!G15-'T1 ENVA'!G16+'T1 ENVA'!G79+'T1 ENVA'!G80)/('T1 ENVA'!G65/100)+'T1 ENVA'!G29+'T1 ENVA'!G30+'T1 ENVA'!G15+'T1 ENVA'!G16-'T1 ENVA'!G79-'T1 ENVA'!G80,$D$315)</f>
        <v>71728.535000000003</v>
      </c>
      <c r="G316" s="672">
        <f>ROUND(('T1 ENVA'!H61-'T1 ENVA'!H29-'T1 ENVA'!H30-'T1 ENVA'!H15-'T1 ENVA'!H16+'T1 ENVA'!H79+'T1 ENVA'!H80)/('T1 ENVA'!H65/100)+'T1 ENVA'!H29+'T1 ENVA'!H30+'T1 ENVA'!H15+'T1 ENVA'!H16-'T1 ENVA'!H79-'T1 ENVA'!H80,$D$315)</f>
        <v>65287.567999999999</v>
      </c>
      <c r="H316" s="672">
        <f>ROUND(('T1 ENVA'!I61-'T1 ENVA'!I29-'T1 ENVA'!I30-'T1 ENVA'!I15-'T1 ENVA'!I16+'T1 ENVA'!I79+'T1 ENVA'!I80)/('T1 ENVA'!I65/100)+'T1 ENVA'!I29+'T1 ENVA'!I30+'T1 ENVA'!I15+'T1 ENVA'!I16-'T1 ENVA'!I79-'T1 ENVA'!I80,$D$315)</f>
        <v>67134.531000000003</v>
      </c>
      <c r="I316" s="672">
        <f>ROUND(('T1 ENVA'!J61-'T1 ENVA'!J29-'T1 ENVA'!J30-'T1 ENVA'!J15-'T1 ENVA'!J16+'T1 ENVA'!J79+'T1 ENVA'!J80)/('T1 ENVA'!J65/100)+'T1 ENVA'!J29+'T1 ENVA'!J30+'T1 ENVA'!J15+'T1 ENVA'!J16-'T1 ENVA'!J79-'T1 ENVA'!J80,$D$315)</f>
        <v>67348.587</v>
      </c>
      <c r="J316" s="672">
        <f>ROUND(('T1 ENVA'!K61-'T1 ENVA'!K29-'T1 ENVA'!K30-'T1 ENVA'!K15-'T1 ENVA'!K16+'T1 ENVA'!K79+'T1 ENVA'!K80)/('T1 ENVA'!K65/100)+'T1 ENVA'!K29+'T1 ENVA'!K30+'T1 ENVA'!K15+'T1 ENVA'!K16-'T1 ENVA'!K79-'T1 ENVA'!K80,$D$315)</f>
        <v>52717.722000000002</v>
      </c>
      <c r="K316" s="672">
        <f>ROUND(('T1 ENVA'!L61-'T1 ENVA'!L29-'T1 ENVA'!L30-'T1 ENVA'!L15-'T1 ENVA'!L16+'T1 ENVA'!L79+'T1 ENVA'!L80)/('T1 ENVA'!L65/100)+'T1 ENVA'!L29+'T1 ENVA'!L30+'T1 ENVA'!L15+'T1 ENVA'!L16-'T1 ENVA'!L79-'T1 ENVA'!L80,$D$315)</f>
        <v>51959.883000000002</v>
      </c>
      <c r="L316" s="672">
        <f>ROUND('T1 ENVA'!K66+'T1 ENVA'!L66,$D$315)</f>
        <v>104677.605</v>
      </c>
      <c r="M316" s="672">
        <f>ROUND(('T1 ENVA'!N61-'T1 ENVA'!N29-'T1 ENVA'!N30-'T1 ENVA'!N15-'T1 ENVA'!N16+'T1 ENVA'!N79+'T1 ENVA'!N80)/('T1 ENVA'!N65/100)+'T1 ENVA'!N29+'T1 ENVA'!N30+'T1 ENVA'!N15+'T1 ENVA'!N16-'T1 ENVA'!N79-'T1 ENVA'!N80,$D$315)</f>
        <v>51682.805999999997</v>
      </c>
      <c r="N316" s="672">
        <f>ROUND(('T1 ENVA'!O61-'T1 ENVA'!O29-'T1 ENVA'!O30-'T1 ENVA'!O15-'T1 ENVA'!O16+'T1 ENVA'!O79+'T1 ENVA'!O80)/('T1 ENVA'!O65/100)+'T1 ENVA'!O29+'T1 ENVA'!O30+'T1 ENVA'!O15+'T1 ENVA'!O16-'T1 ENVA'!O79-'T1 ENVA'!O80,$D$315)</f>
        <v>51732.569000000003</v>
      </c>
      <c r="O316" s="672">
        <f>ROUND(('T1 ENVA'!P61-'T1 ENVA'!P29-'T1 ENVA'!P30-'T1 ENVA'!P15-'T1 ENVA'!P16+'T1 ENVA'!P79+'T1 ENVA'!P80)/('T1 ENVA'!P65/100)+'T1 ENVA'!P29+'T1 ENVA'!P30+'T1 ENVA'!P15+'T1 ENVA'!P16-'T1 ENVA'!P79-'T1 ENVA'!P80,$D$315)</f>
        <v>51870.767</v>
      </c>
      <c r="P316" s="51"/>
      <c r="Q316" s="672">
        <f>ROUND(('T1 ENVA'!R61-'T1 ENVA'!R29-'T1 ENVA'!R30-'T1 ENVA'!R15-'T1 ENVA'!R16+'T1 ENVA'!R79+'T1 ENVA'!R80)/('T1 ENVA'!R65/100)+'T1 ENVA'!R29+'T1 ENVA'!R30+'T1 ENVA'!R15+'T1 ENVA'!R16-'T1 ENVA'!R79-'T1 ENVA'!R80,$D$315)</f>
        <v>52717.722000000002</v>
      </c>
    </row>
    <row r="317" spans="1:17" s="44" customFormat="1" ht="15" customHeight="1" outlineLevel="1">
      <c r="A317" s="39"/>
      <c r="B317" s="676"/>
      <c r="C317" s="677" t="s">
        <v>54</v>
      </c>
      <c r="D317" s="678"/>
      <c r="E317" s="672">
        <f>ROUND('T1 ENVA'!F66,$D$315)</f>
        <v>70069.092000000004</v>
      </c>
      <c r="F317" s="672">
        <f>ROUND('T1 ENVA'!G66,$D$315)</f>
        <v>71728.535000000003</v>
      </c>
      <c r="G317" s="672">
        <f>ROUND('T1 ENVA'!H66,$D$315)</f>
        <v>65287.567999999999</v>
      </c>
      <c r="H317" s="672">
        <f>ROUND('T1 ENVA'!I66,$D$315)</f>
        <v>67134.531000000003</v>
      </c>
      <c r="I317" s="672">
        <f>ROUND('T1 ENVA'!J66,$D$315)</f>
        <v>67348.587</v>
      </c>
      <c r="J317" s="672">
        <f>ROUND('T1 ENVA'!K66,$D$315)</f>
        <v>52717.722000000002</v>
      </c>
      <c r="K317" s="672">
        <f>ROUND('T1 ENVA'!L66,$D$315)</f>
        <v>51959.883000000002</v>
      </c>
      <c r="L317" s="672">
        <f>ROUND('T1 ENVA'!M66,$D$315)</f>
        <v>104677.605</v>
      </c>
      <c r="M317" s="672">
        <f>ROUND('T1 ENVA'!N66,$D$315)</f>
        <v>51682.805999999997</v>
      </c>
      <c r="N317" s="672">
        <f>ROUND('T1 ENVA'!O66,$D$315)</f>
        <v>51732.569000000003</v>
      </c>
      <c r="O317" s="672">
        <f>ROUND('T1 ENVA'!P66,$D$315)</f>
        <v>51870.767</v>
      </c>
      <c r="P317" s="51"/>
      <c r="Q317" s="672">
        <f>ROUND('T1 ENVA'!R66,$D$315)</f>
        <v>52717.722000000002</v>
      </c>
    </row>
    <row r="318" spans="1:17" s="38" customFormat="1" ht="15" customHeight="1">
      <c r="A318" s="33" t="s">
        <v>672</v>
      </c>
      <c r="B318" s="673" t="s">
        <v>51</v>
      </c>
      <c r="C318" s="35" t="s">
        <v>673</v>
      </c>
      <c r="D318" s="675">
        <v>3</v>
      </c>
      <c r="E318" s="1162" t="b">
        <f>IF(ROUND('T1 NSA'!F15+'T1 NSA'!F16,$D$318)&gt;0,ROUND('T1 ENVA'!F79+'T1 ENVA'!F80,$D$318)&gt;0,ROUND('T1 ENVA'!F79+'T1 ENVA'!F80,$D$318)=0)</f>
        <v>1</v>
      </c>
      <c r="F318" s="1162" t="b">
        <f>IF(ROUND('T1 NSA'!G15+'T1 NSA'!G16,$D$318)&gt;0,ROUND('T1 ENVA'!G79+'T1 ENVA'!G80,$D$318)&gt;0,ROUND('T1 ENVA'!G79+'T1 ENVA'!G80,$D$318)=0)</f>
        <v>1</v>
      </c>
      <c r="G318" s="1162" t="b">
        <f>IF(ROUND('T1 NSA'!H15+'T1 NSA'!H16,$D$318)&gt;0,ROUND('T1 ENVA'!H79+'T1 ENVA'!H80,$D$318)&gt;0,ROUND('T1 ENVA'!H79+'T1 ENVA'!H80,$D$318)=0)</f>
        <v>1</v>
      </c>
      <c r="H318" s="1162" t="b">
        <f>IF(ROUND('T1 NSA'!I15+'T1 NSA'!I16,$D$318)&gt;0,ROUND('T1 ENVA'!I79+'T1 ENVA'!I80,$D$318)&gt;0,ROUND('T1 ENVA'!I79+'T1 ENVA'!I80,$D$318)=0)</f>
        <v>1</v>
      </c>
      <c r="I318" s="1162" t="b">
        <f>IF(ROUND('T1 NSA'!J15+'T1 NSA'!J16,$D$318)&gt;0,ROUND('T1 ENVA'!J79+'T1 ENVA'!J80,$D$318)&gt;0,ROUND('T1 ENVA'!J79+'T1 ENVA'!J80,$D$318)=0)</f>
        <v>1</v>
      </c>
      <c r="J318" s="1162" t="b">
        <f>IF(ROUND('T1 NSA'!K15+'T1 NSA'!K16,$D$318)&gt;0,ROUND('T1 ENVA'!K79+'T1 ENVA'!K80,$D$318)&gt;0,ROUND('T1 ENVA'!K79+'T1 ENVA'!K80,$D$318)=0)</f>
        <v>1</v>
      </c>
      <c r="K318" s="1162" t="b">
        <f>IF(ROUND('T1 NSA'!L15+'T1 NSA'!L16,$D$318)&gt;0,ROUND('T1 ENVA'!L79+'T1 ENVA'!L80,$D$318)&gt;0,ROUND('T1 ENVA'!L79+'T1 ENVA'!L80,$D$318)=0)</f>
        <v>1</v>
      </c>
      <c r="L318" s="1162" t="b">
        <f>IF(ROUND('T1 NSA'!M15+'T1 NSA'!M16,$D$318)&gt;0,ROUND('T1 ENVA'!M79+'T1 ENVA'!M80,$D$318)&gt;0,ROUND('T1 ENVA'!M79+'T1 ENVA'!M80,$D$318)=0)</f>
        <v>1</v>
      </c>
      <c r="M318" s="1162" t="b">
        <f>IF(ROUND('T1 NSA'!N15+'T1 NSA'!N16,$D$318)&gt;0,ROUND('T1 ENVA'!N79+'T1 ENVA'!N80,$D$318)&gt;0,ROUND('T1 ENVA'!N79+'T1 ENVA'!N80,$D$318)=0)</f>
        <v>1</v>
      </c>
      <c r="N318" s="1162" t="b">
        <f>IF(ROUND('T1 NSA'!O15+'T1 NSA'!O16,$D$318)&gt;0,ROUND('T1 ENVA'!O79+'T1 ENVA'!O80,$D$318)&gt;0,ROUND('T1 ENVA'!O79+'T1 ENVA'!O80,$D$318)=0)</f>
        <v>1</v>
      </c>
      <c r="O318" s="1162" t="b">
        <f>IF(ROUND('T1 NSA'!P15+'T1 NSA'!P16,$D$318)&gt;0,ROUND('T1 ENVA'!P79+'T1 ENVA'!P80,$D$318)&gt;0,ROUND('T1 ENVA'!P79+'T1 ENVA'!P80,$D$318)=0)</f>
        <v>1</v>
      </c>
      <c r="P318" s="51"/>
      <c r="Q318" s="1162" t="b">
        <f>IF(ROUND('T1 NSA'!R15+'T1 NSA'!R16,$D$318)&gt;0,ROUND('T1 ENVA'!R79+'T1 ENVA'!R80,$D$318)&gt;0,ROUND('T1 ENVA'!R79+'T1 ENVA'!R80,$D$318)=0)</f>
        <v>1</v>
      </c>
    </row>
    <row r="319" spans="1:17" s="44" customFormat="1" ht="15" customHeight="1" outlineLevel="1">
      <c r="A319" s="39"/>
      <c r="B319" s="676"/>
      <c r="C319" s="41" t="s">
        <v>675</v>
      </c>
      <c r="D319" s="678"/>
      <c r="E319" s="672">
        <f>ROUND('T1 NSA'!F15+'T1 NSA'!F16,$D$318)</f>
        <v>0</v>
      </c>
      <c r="F319" s="672">
        <f>ROUND('T1 NSA'!G15+'T1 NSA'!G16,$D$318)</f>
        <v>0</v>
      </c>
      <c r="G319" s="672">
        <f>ROUND('T1 NSA'!H15+'T1 NSA'!H16,$D$318)</f>
        <v>0</v>
      </c>
      <c r="H319" s="672">
        <f>ROUND('T1 NSA'!I15+'T1 NSA'!I16,$D$318)</f>
        <v>0</v>
      </c>
      <c r="I319" s="672">
        <f>ROUND('T1 NSA'!J15+'T1 NSA'!J16,$D$318)</f>
        <v>0</v>
      </c>
      <c r="J319" s="672">
        <f>ROUND('T1 NSA'!K15+'T1 NSA'!K16,$D$318)</f>
        <v>0</v>
      </c>
      <c r="K319" s="672">
        <f>ROUND('T1 NSA'!L15+'T1 NSA'!L16,$D$318)</f>
        <v>0</v>
      </c>
      <c r="L319" s="672">
        <f>ROUND('T1 NSA'!M15+'T1 NSA'!M16,$D$318)</f>
        <v>0</v>
      </c>
      <c r="M319" s="672">
        <f>ROUND('T1 NSA'!N15+'T1 NSA'!N16,$D$318)</f>
        <v>0</v>
      </c>
      <c r="N319" s="672">
        <f>ROUND('T1 NSA'!O15+'T1 NSA'!O16,$D$318)</f>
        <v>0</v>
      </c>
      <c r="O319" s="672">
        <f>ROUND('T1 NSA'!P15+'T1 NSA'!P16,$D$318)</f>
        <v>0</v>
      </c>
      <c r="P319" s="51"/>
      <c r="Q319" s="672">
        <f>ROUND('T1 NSA'!R15+'T1 NSA'!R16,$D$318)</f>
        <v>0</v>
      </c>
    </row>
    <row r="320" spans="1:17" s="44" customFormat="1" ht="15" customHeight="1" outlineLevel="1">
      <c r="A320" s="39"/>
      <c r="B320" s="676"/>
      <c r="C320" s="41" t="s">
        <v>676</v>
      </c>
      <c r="D320" s="678"/>
      <c r="E320" s="672">
        <f>ROUND('T1 ENVA'!F79+'T1 ENVA'!F80,$D$318)</f>
        <v>0</v>
      </c>
      <c r="F320" s="672">
        <f>ROUND('T1 ENVA'!G79+'T1 ENVA'!G80,$D$318)</f>
        <v>0</v>
      </c>
      <c r="G320" s="672">
        <f>ROUND('T1 ENVA'!H79+'T1 ENVA'!H80,$D$318)</f>
        <v>0</v>
      </c>
      <c r="H320" s="672">
        <f>ROUND('T1 ENVA'!I79+'T1 ENVA'!I80,$D$318)</f>
        <v>0</v>
      </c>
      <c r="I320" s="672">
        <f>ROUND('T1 ENVA'!J79+'T1 ENVA'!J80,$D$318)</f>
        <v>0</v>
      </c>
      <c r="J320" s="672">
        <f>ROUND('T1 ENVA'!K79+'T1 ENVA'!K80,$D$318)</f>
        <v>0</v>
      </c>
      <c r="K320" s="672">
        <f>ROUND('T1 ENVA'!L79+'T1 ENVA'!L80,$D$318)</f>
        <v>0</v>
      </c>
      <c r="L320" s="672">
        <f>ROUND('T1 ENVA'!M79+'T1 ENVA'!M80,$D$318)</f>
        <v>0</v>
      </c>
      <c r="M320" s="672">
        <f>ROUND('T1 ENVA'!N79+'T1 ENVA'!N80,$D$318)</f>
        <v>0</v>
      </c>
      <c r="N320" s="672">
        <f>ROUND('T1 ENVA'!O79+'T1 ENVA'!O80,$D$318)</f>
        <v>0</v>
      </c>
      <c r="O320" s="672">
        <f>ROUND('T1 ENVA'!P79+'T1 ENVA'!P80,$D$318)</f>
        <v>0</v>
      </c>
      <c r="P320" s="51"/>
      <c r="Q320" s="672">
        <f>ROUND('T1 ENVA'!R79+'T1 ENVA'!R80,$D$318)</f>
        <v>0</v>
      </c>
    </row>
    <row r="321" spans="1:22" s="38" customFormat="1" ht="15" customHeight="1">
      <c r="A321" s="33" t="s">
        <v>60</v>
      </c>
      <c r="B321" s="673" t="s">
        <v>33</v>
      </c>
      <c r="C321" s="704" t="s">
        <v>643</v>
      </c>
      <c r="D321" s="678"/>
      <c r="E321" s="1087" t="b">
        <f>'T1 ENVA'!F64='T1'!F64</f>
        <v>1</v>
      </c>
      <c r="F321" s="1087" t="b">
        <f>'T1 ENVA'!G64='T1'!G64</f>
        <v>1</v>
      </c>
      <c r="G321" s="1087" t="b">
        <f>'T1 ENVA'!H64='T1'!H64</f>
        <v>1</v>
      </c>
      <c r="H321" s="1087" t="b">
        <f>'T1 ENVA'!I64='T1'!I64</f>
        <v>1</v>
      </c>
      <c r="I321" s="1087" t="b">
        <f>'T1 ENVA'!J64='T1'!J64</f>
        <v>1</v>
      </c>
      <c r="J321" s="1087" t="b">
        <f>'T1 ENVA'!K64='T1'!K64</f>
        <v>1</v>
      </c>
      <c r="K321" s="1087" t="b">
        <f>'T1 ENVA'!L64='T1'!L64</f>
        <v>1</v>
      </c>
      <c r="L321" s="32"/>
      <c r="M321" s="1087" t="b">
        <f>'T1 ENVA'!N64='T1'!N64</f>
        <v>1</v>
      </c>
      <c r="N321" s="1087" t="b">
        <f>'T1 ENVA'!O64='T1'!O64</f>
        <v>1</v>
      </c>
      <c r="O321" s="1087" t="b">
        <f>'T1 ENVA'!P64='T1'!P64</f>
        <v>1</v>
      </c>
      <c r="P321" s="51"/>
      <c r="Q321" s="1087" t="b">
        <f>'T1 ENVA'!R64='T1'!R64</f>
        <v>1</v>
      </c>
    </row>
    <row r="322" spans="1:22" s="44" customFormat="1" ht="15" customHeight="1" outlineLevel="1">
      <c r="A322" s="39"/>
      <c r="B322" s="676"/>
      <c r="C322" s="677" t="s">
        <v>708</v>
      </c>
      <c r="D322" s="678"/>
      <c r="E322" s="1088">
        <f>'T1 ENVA'!F64</f>
        <v>0.02</v>
      </c>
      <c r="F322" s="1088">
        <f>'T1 ENVA'!G64</f>
        <v>3.9E-2</v>
      </c>
      <c r="G322" s="1088">
        <f>'T1 ENVA'!H64</f>
        <v>1.9E-2</v>
      </c>
      <c r="H322" s="1088">
        <f>'T1 ENVA'!I64</f>
        <v>0.03</v>
      </c>
      <c r="I322" s="1088">
        <f>'T1 ENVA'!J64</f>
        <v>2.3E-2</v>
      </c>
      <c r="J322" s="1088">
        <f>'T1 ENVA'!K64</f>
        <v>1.2E-2</v>
      </c>
      <c r="K322" s="1088">
        <f>'T1 ENVA'!L64</f>
        <v>2.1999999999999999E-2</v>
      </c>
      <c r="L322" s="32"/>
      <c r="M322" s="1088">
        <f>'T1 ENVA'!N64</f>
        <v>0.02</v>
      </c>
      <c r="N322" s="1088">
        <f>'T1 ENVA'!O64</f>
        <v>0.02</v>
      </c>
      <c r="O322" s="1088">
        <f>'T1 ENVA'!P64</f>
        <v>0.02</v>
      </c>
      <c r="P322" s="51"/>
      <c r="Q322" s="1088">
        <f>'T1 ENVA'!R64</f>
        <v>1.2E-2</v>
      </c>
    </row>
    <row r="323" spans="1:22" s="44" customFormat="1" ht="15" customHeight="1" outlineLevel="1">
      <c r="A323" s="39"/>
      <c r="B323" s="676"/>
      <c r="C323" s="677" t="s">
        <v>63</v>
      </c>
      <c r="D323" s="678"/>
      <c r="E323" s="47">
        <f>'T1'!F64</f>
        <v>0.02</v>
      </c>
      <c r="F323" s="47">
        <f>'T1'!G64</f>
        <v>3.9E-2</v>
      </c>
      <c r="G323" s="47">
        <f>'T1'!H64</f>
        <v>1.9E-2</v>
      </c>
      <c r="H323" s="47">
        <f>'T1'!I64</f>
        <v>0.03</v>
      </c>
      <c r="I323" s="47">
        <f>'T1'!J64</f>
        <v>2.3E-2</v>
      </c>
      <c r="J323" s="47">
        <f>'T1'!K64</f>
        <v>1.2E-2</v>
      </c>
      <c r="K323" s="47">
        <f>'T1'!L64</f>
        <v>2.1999999999999999E-2</v>
      </c>
      <c r="L323" s="32"/>
      <c r="M323" s="47">
        <f>'T1'!N64</f>
        <v>0.02</v>
      </c>
      <c r="N323" s="47">
        <f>'T1'!O64</f>
        <v>0.02</v>
      </c>
      <c r="O323" s="47">
        <f>'T1'!P64</f>
        <v>0.02</v>
      </c>
      <c r="P323" s="51"/>
      <c r="Q323" s="47">
        <f>'T1'!R64</f>
        <v>1.2E-2</v>
      </c>
    </row>
    <row r="324" spans="1:22" s="38" customFormat="1" ht="15" customHeight="1">
      <c r="A324" s="1089" t="s">
        <v>64</v>
      </c>
      <c r="B324" s="673" t="s">
        <v>37</v>
      </c>
      <c r="C324" s="704" t="s">
        <v>644</v>
      </c>
      <c r="D324" s="678"/>
      <c r="E324" s="1087" t="b">
        <f>'T1 ENVA'!F65='T1'!F65</f>
        <v>1</v>
      </c>
      <c r="F324" s="1087" t="b">
        <f>'T1 ENVA'!G65='T1'!G65</f>
        <v>1</v>
      </c>
      <c r="G324" s="1087" t="b">
        <f>'T1 ENVA'!H65='T1'!H65</f>
        <v>1</v>
      </c>
      <c r="H324" s="1087" t="b">
        <f>'T1 ENVA'!I65='T1'!I65</f>
        <v>1</v>
      </c>
      <c r="I324" s="1087" t="b">
        <f>'T1 ENVA'!J65='T1'!J65</f>
        <v>1</v>
      </c>
      <c r="J324" s="1087" t="b">
        <f>'T1 ENVA'!K65='T1'!K65</f>
        <v>1</v>
      </c>
      <c r="K324" s="1087" t="b">
        <f>'T1 ENVA'!L65='T1'!L65</f>
        <v>1</v>
      </c>
      <c r="L324" s="32"/>
      <c r="M324" s="1087" t="b">
        <f>'T1 ENVA'!N65='T1'!N65</f>
        <v>1</v>
      </c>
      <c r="N324" s="1087" t="b">
        <f>'T1 ENVA'!O65='T1'!O65</f>
        <v>1</v>
      </c>
      <c r="O324" s="1087" t="b">
        <f>'T1 ENVA'!P65='T1'!P65</f>
        <v>1</v>
      </c>
      <c r="P324" s="51"/>
      <c r="Q324" s="1087" t="b">
        <f>'T1 ENVA'!R65='T1'!R65</f>
        <v>1</v>
      </c>
    </row>
    <row r="325" spans="1:22" s="44" customFormat="1" ht="15" customHeight="1" outlineLevel="1">
      <c r="A325" s="39"/>
      <c r="B325" s="676"/>
      <c r="C325" s="677" t="s">
        <v>709</v>
      </c>
      <c r="D325" s="678"/>
      <c r="E325" s="1090">
        <f>'T1 ENVA'!F65</f>
        <v>94.45180643802405</v>
      </c>
      <c r="F325" s="1090">
        <f>'T1 ENVA'!G65</f>
        <v>98.135426889106981</v>
      </c>
      <c r="G325" s="1090">
        <f>'T1 ENVA'!H65</f>
        <v>100</v>
      </c>
      <c r="H325" s="1090">
        <f>'T1 ENVA'!I65</f>
        <v>103</v>
      </c>
      <c r="I325" s="1090">
        <f>'T1 ENVA'!J65</f>
        <v>105.36899999999999</v>
      </c>
      <c r="J325" s="1090">
        <f>'T1 ENVA'!K65</f>
        <v>106.63342799999998</v>
      </c>
      <c r="K325" s="1090">
        <f>'T1 ENVA'!L65</f>
        <v>108.97936341599998</v>
      </c>
      <c r="L325" s="32"/>
      <c r="M325" s="1090">
        <f>'T1 ENVA'!N65</f>
        <v>111.15895068431999</v>
      </c>
      <c r="N325" s="1090">
        <f>'T1 ENVA'!O65</f>
        <v>113.38212969800639</v>
      </c>
      <c r="O325" s="1090">
        <f>'T1 ENVA'!P65</f>
        <v>115.64977229196653</v>
      </c>
      <c r="P325" s="51"/>
      <c r="Q325" s="1090">
        <f>'T1 ENVA'!R65</f>
        <v>106.63342799999998</v>
      </c>
    </row>
    <row r="326" spans="1:22" s="44" customFormat="1" ht="15" customHeight="1" outlineLevel="1">
      <c r="A326" s="39"/>
      <c r="B326" s="676"/>
      <c r="C326" s="677" t="s">
        <v>645</v>
      </c>
      <c r="D326" s="678"/>
      <c r="E326" s="1090">
        <f>'T1'!F65</f>
        <v>94.45180643802405</v>
      </c>
      <c r="F326" s="1090">
        <f>'T1'!G65</f>
        <v>98.135426889106981</v>
      </c>
      <c r="G326" s="1090">
        <f>'T1'!H65</f>
        <v>100</v>
      </c>
      <c r="H326" s="1090">
        <f>'T1'!I65</f>
        <v>103</v>
      </c>
      <c r="I326" s="1090">
        <f>'T1'!J65</f>
        <v>105.36899999999999</v>
      </c>
      <c r="J326" s="1090">
        <f>'T1'!K65</f>
        <v>106.63342799999998</v>
      </c>
      <c r="K326" s="1090">
        <f>'T1'!L65</f>
        <v>108.97936341599998</v>
      </c>
      <c r="L326" s="32"/>
      <c r="M326" s="1090">
        <f>'T1'!N65</f>
        <v>111.15895068431999</v>
      </c>
      <c r="N326" s="1090">
        <f>'T1'!O65</f>
        <v>113.38212969800639</v>
      </c>
      <c r="O326" s="1090">
        <f>'T1'!P65</f>
        <v>115.64977229196653</v>
      </c>
      <c r="P326" s="51"/>
      <c r="Q326" s="1090">
        <f>'T1'!R65</f>
        <v>106.63342799999998</v>
      </c>
    </row>
    <row r="327" spans="1:22" s="38" customFormat="1" ht="15" customHeight="1">
      <c r="A327" s="33" t="s">
        <v>68</v>
      </c>
      <c r="B327" s="673" t="s">
        <v>69</v>
      </c>
      <c r="C327" s="59" t="s">
        <v>70</v>
      </c>
      <c r="D327" s="675">
        <v>3</v>
      </c>
      <c r="E327" s="37" t="b">
        <f>IF('T1 ENVA'!F39&gt;0,ROUND('T1 ENVA'!F41,$D$327)=ROUND('T1 ENVA'!F16/'T1 ENVA'!F39,$D$327),"N/A")</f>
        <v>1</v>
      </c>
      <c r="F327" s="37" t="b">
        <f>IF('T1 ENVA'!G39&gt;0,ROUND('T1 ENVA'!G41,$D$327)=ROUND('T1 ENVA'!G16/'T1 ENVA'!G39,$D$327),"N/A")</f>
        <v>1</v>
      </c>
      <c r="G327" s="37" t="b">
        <f>IF('T1 ENVA'!H39&gt;0,ROUND('T1 ENVA'!H41,$D$327)=ROUND('T1 ENVA'!H16/'T1 ENVA'!H39,$D$327),"N/A")</f>
        <v>1</v>
      </c>
      <c r="H327" s="37" t="b">
        <f>IF('T1 ENVA'!I39&gt;0,ROUND('T1 ENVA'!I41,$D$327)=ROUND('T1 ENVA'!I16/'T1 ENVA'!I39,$D$327),"N/A")</f>
        <v>1</v>
      </c>
      <c r="I327" s="37" t="b">
        <f>IF('T1 ENVA'!J39&gt;0,ROUND('T1 ENVA'!J41,$D$327)=ROUND('T1 ENVA'!J16/'T1 ENVA'!J39,$D$327),"N/A")</f>
        <v>1</v>
      </c>
      <c r="J327" s="37" t="b">
        <f>IF('T1 ENVA'!K39&gt;0,ROUND('T1 ENVA'!K41,$D$327)=ROUND('T1 ENVA'!K16/'T1 ENVA'!K39,$D$327),"N/A")</f>
        <v>1</v>
      </c>
      <c r="K327" s="37" t="b">
        <f>IF('T1 ENVA'!L39&gt;0,ROUND('T1 ENVA'!L41,$D$327)=ROUND('T1 ENVA'!L16/'T1 ENVA'!L39,$D$327),"N/A")</f>
        <v>1</v>
      </c>
      <c r="L327" s="32"/>
      <c r="M327" s="37" t="b">
        <f>IF('T1 ENVA'!N39&gt;0,ROUND('T1 ENVA'!N41,$D$327)=ROUND('T1 ENVA'!N16/'T1 ENVA'!N39,$D$327),"N/A")</f>
        <v>1</v>
      </c>
      <c r="N327" s="37" t="b">
        <f>IF('T1 ENVA'!O39&gt;0,ROUND('T1 ENVA'!O41,$D$327)=ROUND('T1 ENVA'!O16/'T1 ENVA'!O39,$D$327),"N/A")</f>
        <v>1</v>
      </c>
      <c r="O327" s="37" t="b">
        <f>IF('T1 ENVA'!P39&gt;0,ROUND('T1 ENVA'!P41,$D$327)=ROUND('T1 ENVA'!P16/'T1 ENVA'!P39,$D$327),"N/A")</f>
        <v>1</v>
      </c>
      <c r="P327" s="51"/>
      <c r="Q327" s="37" t="b">
        <f>IF('T1 ENVA'!R39&gt;0,ROUND('T1 ENVA'!R41,$D$327)=ROUND('T1 ENVA'!R16/'T1 ENVA'!R39,$D$327),"N/A")</f>
        <v>1</v>
      </c>
    </row>
    <row r="328" spans="1:22" s="44" customFormat="1" ht="15" customHeight="1" outlineLevel="1">
      <c r="A328" s="39"/>
      <c r="B328" s="676"/>
      <c r="C328" s="1091" t="s">
        <v>646</v>
      </c>
      <c r="D328" s="678"/>
      <c r="E328" s="60">
        <f>IF('T1 ENVA'!F39&gt;0,ROUND('T1 ENVA'!F41,$D$327),"N/A")</f>
        <v>7.5999999999999998E-2</v>
      </c>
      <c r="F328" s="60">
        <f>IF('T1 ENVA'!G39&gt;0,ROUND('T1 ENVA'!G41,$D$327),"N/A")</f>
        <v>7.5999999999999998E-2</v>
      </c>
      <c r="G328" s="60">
        <f>IF('T1 ENVA'!H39&gt;0,ROUND('T1 ENVA'!H41,$D$327),"N/A")</f>
        <v>7.5999999999999998E-2</v>
      </c>
      <c r="H328" s="60">
        <f>IF('T1 ENVA'!I39&gt;0,ROUND('T1 ENVA'!I41,$D$327),"N/A")</f>
        <v>7.5999999999999998E-2</v>
      </c>
      <c r="I328" s="60">
        <f>IF('T1 ENVA'!J39&gt;0,ROUND('T1 ENVA'!J41,$D$327),"N/A")</f>
        <v>7.5999999999999998E-2</v>
      </c>
      <c r="J328" s="60">
        <f>IF('T1 ENVA'!K39&gt;0,ROUND('T1 ENVA'!K41,$D$327),"N/A")</f>
        <v>5.8999999999999997E-2</v>
      </c>
      <c r="K328" s="60">
        <f>IF('T1 ENVA'!L39&gt;0,ROUND('T1 ENVA'!L41,$D$327),"N/A")</f>
        <v>5.8999999999999997E-2</v>
      </c>
      <c r="L328" s="32"/>
      <c r="M328" s="60">
        <f>IF('T1 ENVA'!N39&gt;0,ROUND('T1 ENVA'!N41,$D$327),"N/A")</f>
        <v>5.8999999999999997E-2</v>
      </c>
      <c r="N328" s="60">
        <f>IF('T1 ENVA'!O39&gt;0,ROUND('T1 ENVA'!O41,$D$327),"N/A")</f>
        <v>5.8999999999999997E-2</v>
      </c>
      <c r="O328" s="60">
        <f>IF('T1 ENVA'!P39&gt;0,ROUND('T1 ENVA'!P41,$D$327),"N/A")</f>
        <v>5.8999999999999997E-2</v>
      </c>
      <c r="P328" s="51"/>
      <c r="Q328" s="60">
        <f>IF('T1 ENVA'!R39&gt;0,ROUND('T1 ENVA'!R41,$D$327),"N/A")</f>
        <v>5.8999999999999997E-2</v>
      </c>
    </row>
    <row r="329" spans="1:22" s="44" customFormat="1" ht="15" customHeight="1" outlineLevel="1">
      <c r="A329" s="39"/>
      <c r="B329" s="676"/>
      <c r="C329" s="1091" t="s">
        <v>647</v>
      </c>
      <c r="D329" s="678"/>
      <c r="E329" s="60">
        <f>IF('T1 ENVA'!F39&gt;0,ROUND('T1 ENVA'!F16/'T1 ENVA'!F39,$D$327),"N/A")</f>
        <v>7.5999999999999998E-2</v>
      </c>
      <c r="F329" s="60">
        <f>IF('T1 ENVA'!G39&gt;0,ROUND('T1 ENVA'!G16/'T1 ENVA'!G39,$D$327),"N/A")</f>
        <v>7.5999999999999998E-2</v>
      </c>
      <c r="G329" s="60">
        <f>IF('T1 ENVA'!H39&gt;0,ROUND('T1 ENVA'!H16/'T1 ENVA'!H39,$D$327),"N/A")</f>
        <v>7.5999999999999998E-2</v>
      </c>
      <c r="H329" s="60">
        <f>IF('T1 ENVA'!I39&gt;0,ROUND('T1 ENVA'!I16/'T1 ENVA'!I39,$D$327),"N/A")</f>
        <v>7.5999999999999998E-2</v>
      </c>
      <c r="I329" s="60">
        <f>IF('T1 ENVA'!J39&gt;0,ROUND('T1 ENVA'!J16/'T1 ENVA'!J39,$D$327),"N/A")</f>
        <v>7.5999999999999998E-2</v>
      </c>
      <c r="J329" s="60">
        <f>IF('T1 ENVA'!K39&gt;0,ROUND('T1 ENVA'!K16/'T1 ENVA'!K39,$D$327),"N/A")</f>
        <v>5.8999999999999997E-2</v>
      </c>
      <c r="K329" s="60">
        <f>IF('T1 ENVA'!L39&gt;0,ROUND('T1 ENVA'!L16/'T1 ENVA'!L39,$D$327),"N/A")</f>
        <v>5.8999999999999997E-2</v>
      </c>
      <c r="L329" s="32"/>
      <c r="M329" s="60">
        <f>IF('T1 ENVA'!N39&gt;0,ROUND('T1 ENVA'!N16/'T1 ENVA'!N39,$D$327),"N/A")</f>
        <v>5.8999999999999997E-2</v>
      </c>
      <c r="N329" s="60">
        <f>IF('T1 ENVA'!O39&gt;0,ROUND('T1 ENVA'!O16/'T1 ENVA'!O39,$D$327),"N/A")</f>
        <v>5.8999999999999997E-2</v>
      </c>
      <c r="O329" s="60">
        <f>IF('T1 ENVA'!P39&gt;0,ROUND('T1 ENVA'!P16/'T1 ENVA'!P39,$D$327),"N/A")</f>
        <v>5.8999999999999997E-2</v>
      </c>
      <c r="P329" s="51"/>
      <c r="Q329" s="60">
        <f>IF('T1 ENVA'!R39&gt;0,ROUND('T1 ENVA'!R16/'T1 ENVA'!R39,$D$327),"N/A")</f>
        <v>5.8999999999999997E-2</v>
      </c>
    </row>
    <row r="330" spans="1:22" s="38" customFormat="1" ht="15" customHeight="1">
      <c r="A330" s="33" t="s">
        <v>78</v>
      </c>
      <c r="B330" s="673" t="s">
        <v>79</v>
      </c>
      <c r="C330" s="704" t="s">
        <v>80</v>
      </c>
      <c r="D330" s="675">
        <v>3</v>
      </c>
      <c r="E330" s="37" t="b">
        <f>ROUND(SUM('T1 ENVA'!F36:F38),$D$330)=ROUND('T1 ENVA'!F39,$D$330)</f>
        <v>1</v>
      </c>
      <c r="F330" s="37" t="b">
        <f>ROUND(SUM('T1 ENVA'!G36:G38),$D$330)=ROUND('T1 ENVA'!G39,$D$330)</f>
        <v>1</v>
      </c>
      <c r="G330" s="37" t="b">
        <f>ROUND(SUM('T1 ENVA'!H36:H38),$D$330)=ROUND('T1 ENVA'!H39,$D$330)</f>
        <v>1</v>
      </c>
      <c r="H330" s="37" t="b">
        <f>ROUND(SUM('T1 ENVA'!I36:I38),$D$330)=ROUND('T1 ENVA'!I39,$D$330)</f>
        <v>1</v>
      </c>
      <c r="I330" s="37" t="b">
        <f>ROUND(SUM('T1 ENVA'!J36:J38),$D$330)=ROUND('T1 ENVA'!J39,$D$330)</f>
        <v>1</v>
      </c>
      <c r="J330" s="37" t="b">
        <f>ROUND(SUM('T1 ENVA'!K36:K38),$D$330)=ROUND('T1 ENVA'!K39,$D$330)</f>
        <v>1</v>
      </c>
      <c r="K330" s="37" t="b">
        <f>ROUND(SUM('T1 ENVA'!L36:L38),$D$330)=ROUND('T1 ENVA'!L39,$D$330)</f>
        <v>1</v>
      </c>
      <c r="L330" s="32"/>
      <c r="M330" s="37" t="b">
        <f>ROUND(SUM('T1 ENVA'!N36:N38),$D$330)=ROUND('T1 ENVA'!N39,$D$330)</f>
        <v>1</v>
      </c>
      <c r="N330" s="37" t="b">
        <f>ROUND(SUM('T1 ENVA'!O36:O38),$D$330)=ROUND('T1 ENVA'!O39,$D$330)</f>
        <v>1</v>
      </c>
      <c r="O330" s="37" t="b">
        <f>ROUND(SUM('T1 ENVA'!P36:P38),$D$330)=ROUND('T1 ENVA'!P39,$D$330)</f>
        <v>1</v>
      </c>
      <c r="P330" s="51"/>
      <c r="Q330" s="37" t="b">
        <f>ROUND(SUM('T1 ENVA'!R36:R38),$D$330)=ROUND('T1 ENVA'!R39,$D$330)</f>
        <v>1</v>
      </c>
    </row>
    <row r="331" spans="1:22" s="44" customFormat="1" ht="15" customHeight="1" outlineLevel="1">
      <c r="A331" s="39"/>
      <c r="B331" s="676"/>
      <c r="C331" s="677" t="s">
        <v>81</v>
      </c>
      <c r="D331" s="678"/>
      <c r="E331" s="672">
        <f>ROUND(SUM('T1 ENVA'!F36:F38),$D$330)</f>
        <v>43668.658000000003</v>
      </c>
      <c r="F331" s="672">
        <f>ROUND(SUM('T1 ENVA'!G36:G38),$D$330)</f>
        <v>93832</v>
      </c>
      <c r="G331" s="672">
        <f>ROUND(SUM('T1 ENVA'!H36:H38),$D$330)</f>
        <v>95079.224000000002</v>
      </c>
      <c r="H331" s="672">
        <f>ROUND(SUM('T1 ENVA'!I36:I38),$D$330)</f>
        <v>95284.157999999996</v>
      </c>
      <c r="I331" s="672">
        <f>ROUND(SUM('T1 ENVA'!J36:J38),$D$330)</f>
        <v>71009.244000000006</v>
      </c>
      <c r="J331" s="672">
        <f>ROUND(SUM('T1 ENVA'!K36:K38),$D$330)</f>
        <v>102901.86900000001</v>
      </c>
      <c r="K331" s="672">
        <f>ROUND(SUM('T1 ENVA'!L36:L38),$D$330)</f>
        <v>91795.812999999995</v>
      </c>
      <c r="L331" s="32"/>
      <c r="M331" s="672">
        <f>ROUND(SUM('T1 ENVA'!N36:N38),$D$330)</f>
        <v>88853.79</v>
      </c>
      <c r="N331" s="672">
        <f>ROUND(SUM('T1 ENVA'!O36:O38),$D$330)</f>
        <v>87586.426000000007</v>
      </c>
      <c r="O331" s="672">
        <f>ROUND(SUM('T1 ENVA'!P36:P38),$D$330)</f>
        <v>83479.934999999998</v>
      </c>
      <c r="P331" s="51"/>
      <c r="Q331" s="672">
        <f>ROUND(SUM('T1 ENVA'!R36:R38),$D$330)</f>
        <v>102901.86900000001</v>
      </c>
    </row>
    <row r="332" spans="1:22" s="44" customFormat="1" ht="15" customHeight="1" outlineLevel="1">
      <c r="A332" s="39"/>
      <c r="B332" s="676"/>
      <c r="C332" s="677" t="s">
        <v>82</v>
      </c>
      <c r="D332" s="678"/>
      <c r="E332" s="672">
        <f>ROUND('T1 ENVA'!F39,$D$330)</f>
        <v>43668.658000000003</v>
      </c>
      <c r="F332" s="672">
        <f>ROUND('T1 ENVA'!G39,$D$330)</f>
        <v>93832</v>
      </c>
      <c r="G332" s="672">
        <f>ROUND('T1 ENVA'!H39,$D$330)</f>
        <v>95079.224000000002</v>
      </c>
      <c r="H332" s="672">
        <f>ROUND('T1 ENVA'!I39,$D$330)</f>
        <v>95284.157999999996</v>
      </c>
      <c r="I332" s="672">
        <f>ROUND('T1 ENVA'!J39,$D$330)</f>
        <v>71009.244000000006</v>
      </c>
      <c r="J332" s="672">
        <f>ROUND('T1 ENVA'!K39,$D$330)</f>
        <v>102901.86900000001</v>
      </c>
      <c r="K332" s="672">
        <f>ROUND('T1 ENVA'!L39,$D$330)</f>
        <v>91795.812999999995</v>
      </c>
      <c r="L332" s="32"/>
      <c r="M332" s="672">
        <f>ROUND('T1 ENVA'!N39,$D$330)</f>
        <v>88853.79</v>
      </c>
      <c r="N332" s="672">
        <f>ROUND('T1 ENVA'!O39,$D$330)</f>
        <v>87586.426000000007</v>
      </c>
      <c r="O332" s="672">
        <f>ROUND('T1 ENVA'!P39,$D$330)</f>
        <v>83479.934999999998</v>
      </c>
      <c r="P332" s="51"/>
      <c r="Q332" s="672">
        <f>ROUND('T1 ENVA'!R39,$D$330)</f>
        <v>102901.86900000001</v>
      </c>
    </row>
    <row r="333" spans="1:22" s="38" customFormat="1" ht="15" customHeight="1">
      <c r="A333" s="33" t="s">
        <v>83</v>
      </c>
      <c r="B333" s="673" t="s">
        <v>79</v>
      </c>
      <c r="C333" s="674" t="s">
        <v>84</v>
      </c>
      <c r="D333" s="675">
        <v>3</v>
      </c>
      <c r="E333" s="37" t="b">
        <f>IF(ROUND('T1 ENVA'!F39,$D$333)=0,ROUND('T1 ENVA'!F16,$D$333)=0,TRUE)</f>
        <v>1</v>
      </c>
      <c r="F333" s="37" t="b">
        <f>IF(ROUND('T1 ENVA'!G39,$D$333)=0,ROUND('T1 ENVA'!G16,$D$333)=0,TRUE)</f>
        <v>1</v>
      </c>
      <c r="G333" s="37" t="b">
        <f>IF(ROUND('T1 ENVA'!H39,$D$333)=0,ROUND('T1 ENVA'!H16,$D$333)=0,TRUE)</f>
        <v>1</v>
      </c>
      <c r="H333" s="37" t="b">
        <f>IF(ROUND('T1 ENVA'!I39,$D$333)=0,ROUND('T1 ENVA'!I16,$D$333)=0,TRUE)</f>
        <v>1</v>
      </c>
      <c r="I333" s="37" t="b">
        <f>IF(ROUND('T1 ENVA'!J39,$D$333)=0,ROUND('T1 ENVA'!J16,$D$333)=0,TRUE)</f>
        <v>1</v>
      </c>
      <c r="J333" s="37" t="b">
        <f>IF(ROUND('T1 ENVA'!K39,$D$333)=0,ROUND('T1 ENVA'!K16,$D$333)=0,TRUE)</f>
        <v>1</v>
      </c>
      <c r="K333" s="37" t="b">
        <f>IF(ROUND('T1 ENVA'!L39,$D$333)=0,ROUND('T1 ENVA'!L16,$D$333)=0,TRUE)</f>
        <v>1</v>
      </c>
      <c r="L333" s="32"/>
      <c r="M333" s="37" t="b">
        <f>IF(ROUND('T1 ENVA'!N39,$D$333)=0,ROUND('T1 ENVA'!N16,$D$333)=0,TRUE)</f>
        <v>1</v>
      </c>
      <c r="N333" s="37" t="b">
        <f>IF(ROUND('T1 ENVA'!O39,$D$333)=0,ROUND('T1 ENVA'!O16,$D$333)=0,TRUE)</f>
        <v>1</v>
      </c>
      <c r="O333" s="37" t="b">
        <f>IF(ROUND('T1 ENVA'!P39,$D$333)=0,ROUND('T1 ENVA'!P16,$D$333)=0,TRUE)</f>
        <v>1</v>
      </c>
      <c r="P333" s="51"/>
      <c r="Q333" s="37" t="b">
        <f>IF(ROUND('T1 ENVA'!R39,$D$333)=0,ROUND('T1 ENVA'!R16,$D$333)=0,TRUE)</f>
        <v>1</v>
      </c>
    </row>
    <row r="334" spans="1:22" s="44" customFormat="1" ht="15" customHeight="1" outlineLevel="1">
      <c r="A334" s="39"/>
      <c r="B334" s="676"/>
      <c r="C334" s="677" t="s">
        <v>82</v>
      </c>
      <c r="D334" s="678"/>
      <c r="E334" s="672">
        <f>ROUND('T1 ENVA'!F39,$D$333)</f>
        <v>43668.658000000003</v>
      </c>
      <c r="F334" s="672">
        <f>ROUND('T1 ENVA'!G39,$D$333)</f>
        <v>93832</v>
      </c>
      <c r="G334" s="672">
        <f>ROUND('T1 ENVA'!H39,$D$333)</f>
        <v>95079.224000000002</v>
      </c>
      <c r="H334" s="672">
        <f>ROUND('T1 ENVA'!I39,$D$333)</f>
        <v>95284.157999999996</v>
      </c>
      <c r="I334" s="672">
        <f>ROUND('T1 ENVA'!J39,$D$333)</f>
        <v>71009.244000000006</v>
      </c>
      <c r="J334" s="672">
        <f>ROUND('T1 ENVA'!K39,$D$333)</f>
        <v>102901.86900000001</v>
      </c>
      <c r="K334" s="672">
        <f>ROUND('T1 ENVA'!L39,$D$333)</f>
        <v>91795.812999999995</v>
      </c>
      <c r="L334" s="32"/>
      <c r="M334" s="672">
        <f>ROUND('T1 ENVA'!N39,$D$333)</f>
        <v>88853.79</v>
      </c>
      <c r="N334" s="672">
        <f>ROUND('T1 ENVA'!O39,$D$333)</f>
        <v>87586.426000000007</v>
      </c>
      <c r="O334" s="672">
        <f>ROUND('T1 ENVA'!P39,$D$333)</f>
        <v>83479.934999999998</v>
      </c>
      <c r="P334" s="51"/>
      <c r="Q334" s="672">
        <f>ROUND('T1 ENVA'!R39,$D$333)</f>
        <v>102901.86900000001</v>
      </c>
    </row>
    <row r="335" spans="1:22" s="44" customFormat="1" ht="15" customHeight="1" outlineLevel="1">
      <c r="A335" s="39"/>
      <c r="B335" s="676"/>
      <c r="C335" s="677" t="s">
        <v>85</v>
      </c>
      <c r="D335" s="678"/>
      <c r="E335" s="672">
        <f>ROUND('T1 ENVA'!F16,$D$333)</f>
        <v>3318.8180000000002</v>
      </c>
      <c r="F335" s="672">
        <f>ROUND('T1 ENVA'!G16,$D$333)</f>
        <v>7131</v>
      </c>
      <c r="G335" s="672">
        <f>ROUND('T1 ENVA'!H16,$D$333)</f>
        <v>7226.2820000000002</v>
      </c>
      <c r="H335" s="672">
        <f>ROUND('T1 ENVA'!I16,$D$333)</f>
        <v>7241.5959999999995</v>
      </c>
      <c r="I335" s="672">
        <f>ROUND('T1 ENVA'!J16,$D$333)</f>
        <v>5396.7030000000004</v>
      </c>
      <c r="J335" s="672">
        <f>ROUND('T1 ENVA'!K16,$D$333)</f>
        <v>6019.759</v>
      </c>
      <c r="K335" s="672">
        <f>ROUND('T1 ENVA'!L16,$D$333)</f>
        <v>5370.0550000000003</v>
      </c>
      <c r="L335" s="32"/>
      <c r="M335" s="672">
        <f>ROUND('T1 ENVA'!N16,$D$333)</f>
        <v>5197.9470000000001</v>
      </c>
      <c r="N335" s="672">
        <f>ROUND('T1 ENVA'!O16,$D$333)</f>
        <v>5123.8059999999996</v>
      </c>
      <c r="O335" s="672">
        <f>ROUND('T1 ENVA'!P16,$D$333)</f>
        <v>4883.576</v>
      </c>
      <c r="P335" s="51"/>
      <c r="Q335" s="672">
        <f>ROUND('T1 ENVA'!R16,$D$333)</f>
        <v>6019.759</v>
      </c>
    </row>
    <row r="336" spans="1:22" s="680" customFormat="1">
      <c r="A336" s="1480" t="s">
        <v>359</v>
      </c>
      <c r="B336" s="1480"/>
      <c r="C336" s="1480"/>
      <c r="D336" s="923"/>
      <c r="E336" s="924"/>
      <c r="F336" s="924"/>
      <c r="G336" s="924"/>
      <c r="H336" s="924"/>
      <c r="I336" s="924"/>
      <c r="J336" s="924"/>
      <c r="K336" s="924"/>
      <c r="L336" s="924"/>
      <c r="M336" s="924"/>
      <c r="N336" s="924"/>
      <c r="O336" s="924"/>
      <c r="P336" s="16"/>
      <c r="Q336" s="1486" t="s">
        <v>150</v>
      </c>
      <c r="R336" s="1487"/>
      <c r="S336" s="1487"/>
      <c r="T336" s="1487"/>
      <c r="U336" s="44"/>
      <c r="V336" s="44"/>
    </row>
    <row r="337" spans="1:20" s="680" customFormat="1" ht="21" customHeight="1">
      <c r="A337" s="1480"/>
      <c r="B337" s="1480"/>
      <c r="C337" s="1480"/>
      <c r="D337" s="923"/>
      <c r="E337" s="924"/>
      <c r="F337" s="924"/>
      <c r="G337" s="924"/>
      <c r="H337" s="924"/>
      <c r="I337" s="924"/>
      <c r="J337" s="924"/>
      <c r="K337" s="924"/>
      <c r="L337" s="924"/>
      <c r="M337" s="924"/>
      <c r="N337" s="924"/>
      <c r="O337" s="924"/>
      <c r="P337" s="16"/>
      <c r="Q337" s="1082" t="s">
        <v>498</v>
      </c>
      <c r="R337" s="23">
        <v>2022</v>
      </c>
      <c r="S337" s="23">
        <v>2023</v>
      </c>
      <c r="T337" s="25">
        <v>2024</v>
      </c>
    </row>
    <row r="338" spans="1:20" s="38" customFormat="1" ht="18.75">
      <c r="A338" s="27" t="s">
        <v>13</v>
      </c>
      <c r="B338" s="28" t="s">
        <v>14</v>
      </c>
      <c r="C338" s="29" t="s">
        <v>360</v>
      </c>
      <c r="D338" s="681"/>
      <c r="E338" s="682"/>
      <c r="F338" s="682"/>
      <c r="G338" s="682"/>
      <c r="H338" s="682"/>
      <c r="I338" s="682"/>
      <c r="J338" s="682"/>
      <c r="K338" s="682"/>
      <c r="L338" s="682"/>
      <c r="M338" s="682"/>
      <c r="N338" s="682"/>
      <c r="O338" s="682"/>
      <c r="P338" s="16"/>
      <c r="Q338" s="682"/>
      <c r="R338" s="682"/>
      <c r="S338" s="682"/>
      <c r="T338" s="682"/>
    </row>
    <row r="339" spans="1:20" s="686" customFormat="1">
      <c r="A339" s="683" t="s">
        <v>361</v>
      </c>
      <c r="B339" s="684" t="s">
        <v>362</v>
      </c>
      <c r="C339" s="685" t="s">
        <v>363</v>
      </c>
      <c r="D339" s="675">
        <v>3</v>
      </c>
      <c r="E339" s="680"/>
      <c r="F339" s="680"/>
      <c r="P339" s="16"/>
      <c r="Q339" s="687" t="b">
        <f>ROUND('T2'!C12,$D$339)=ROUND('T1'!M61,$D$339)</f>
        <v>1</v>
      </c>
      <c r="R339" s="687" t="b">
        <f>ROUND('T2'!D12,$D$339)=ROUND('T1'!N61,$D$339)</f>
        <v>1</v>
      </c>
      <c r="S339" s="687" t="b">
        <f>ROUND('T2'!E12,$D$339)=ROUND('T1'!O61,$D$339)</f>
        <v>1</v>
      </c>
      <c r="T339" s="687" t="b">
        <f>ROUND('T2'!F12,$D$339)=ROUND('T1'!P61,$D$339)</f>
        <v>1</v>
      </c>
    </row>
    <row r="340" spans="1:20" s="690" customFormat="1" outlineLevel="1">
      <c r="A340" s="683"/>
      <c r="B340" s="684"/>
      <c r="C340" s="688" t="s">
        <v>364</v>
      </c>
      <c r="D340" s="689"/>
      <c r="E340" s="680"/>
      <c r="F340" s="680"/>
      <c r="P340" s="16"/>
      <c r="Q340" s="691">
        <f>ROUND('T2'!C12,$D$339)</f>
        <v>820743.29299999995</v>
      </c>
      <c r="R340" s="691">
        <f>ROUND('T2'!D12,$D$339)</f>
        <v>409243.45899999997</v>
      </c>
      <c r="S340" s="691">
        <f>ROUND('T2'!E12,$D$339)</f>
        <v>430889.41700000002</v>
      </c>
      <c r="T340" s="691">
        <f>ROUND('T2'!F12,$D$339)</f>
        <v>446675.24</v>
      </c>
    </row>
    <row r="341" spans="1:20" s="690" customFormat="1" outlineLevel="1">
      <c r="A341" s="683"/>
      <c r="B341" s="684"/>
      <c r="C341" s="688" t="s">
        <v>365</v>
      </c>
      <c r="D341" s="689"/>
      <c r="E341" s="680"/>
      <c r="F341" s="680"/>
      <c r="P341" s="16"/>
      <c r="Q341" s="691">
        <f>ROUND('T1'!M61,$D$339)</f>
        <v>820743.29299999995</v>
      </c>
      <c r="R341" s="691">
        <f>ROUND('T1'!N61,$D$339)</f>
        <v>409243.45899999997</v>
      </c>
      <c r="S341" s="691">
        <f>ROUND('T1'!O61,$D$339)</f>
        <v>430889.41700000002</v>
      </c>
      <c r="T341" s="691">
        <f>ROUND('T1'!P61,$D$339)</f>
        <v>446675.24</v>
      </c>
    </row>
    <row r="342" spans="1:20" s="686" customFormat="1">
      <c r="A342" s="683" t="s">
        <v>366</v>
      </c>
      <c r="B342" s="684" t="s">
        <v>49</v>
      </c>
      <c r="C342" s="685" t="s">
        <v>367</v>
      </c>
      <c r="D342" s="675">
        <v>3</v>
      </c>
      <c r="E342" s="680"/>
      <c r="F342" s="680"/>
      <c r="P342" s="16"/>
      <c r="Q342" s="687" t="b">
        <f>ROUND('T2'!C15,$D$342)=ROUND('T1'!M61-'T1 ANSP'!M15-'T1 ANSP'!M16-'T1 MET'!M15-'T1 MET'!M16-'T1 NSA'!M61,$D$342)</f>
        <v>1</v>
      </c>
      <c r="R342" s="687" t="b">
        <f>ROUND('T2'!D15,$D$342)=ROUND('T1'!N61-'T1 ANSP'!N15-'T1 ANSP'!N16-'T1 MET'!N15-'T1 MET'!N16-'T1 NSA'!N61,$D$342)</f>
        <v>1</v>
      </c>
      <c r="S342" s="687" t="b">
        <f>ROUND('T2'!E15,$D$342)=ROUND('T1'!O61-'T1 ANSP'!O15-'T1 ANSP'!O16-'T1 MET'!O15-'T1 MET'!O16-'T1 NSA'!O61,$D$342)</f>
        <v>1</v>
      </c>
      <c r="T342" s="687" t="b">
        <f>ROUND('T2'!F15,$D$342)=ROUND('T1'!P61-'T1 ANSP'!P15-'T1 ANSP'!P16-'T1 MET'!P15-'T1 MET'!P16-'T1 NSA'!P61,$D$342)</f>
        <v>1</v>
      </c>
    </row>
    <row r="343" spans="1:20" s="690" customFormat="1" outlineLevel="1">
      <c r="A343" s="683"/>
      <c r="B343" s="684"/>
      <c r="C343" s="688" t="s">
        <v>368</v>
      </c>
      <c r="D343" s="689"/>
      <c r="E343" s="680"/>
      <c r="F343" s="680"/>
      <c r="P343" s="16"/>
      <c r="Q343" s="691">
        <f>ROUND('T2'!C15,$D$342)</f>
        <v>680672.00600000005</v>
      </c>
      <c r="R343" s="691">
        <f>ROUND('T2'!D15,$D$342)</f>
        <v>341333.984</v>
      </c>
      <c r="S343" s="691">
        <f>ROUND('T2'!E15,$D$342)</f>
        <v>356690.69900000002</v>
      </c>
      <c r="T343" s="691">
        <f>ROUND('T2'!F15,$D$342)</f>
        <v>367966.30800000002</v>
      </c>
    </row>
    <row r="344" spans="1:20" s="690" customFormat="1" outlineLevel="1">
      <c r="A344" s="683"/>
      <c r="B344" s="684"/>
      <c r="C344" s="688" t="s">
        <v>369</v>
      </c>
      <c r="D344" s="689"/>
      <c r="E344" s="680"/>
      <c r="F344" s="680"/>
      <c r="P344" s="16"/>
      <c r="Q344" s="691">
        <f>ROUND('T1'!M61-'T1 ANSP'!M15-'T1 ANSP'!M16-'T1 MET'!M15-'T1 MET'!M16-'T1 NSA'!M61,$D$342)</f>
        <v>680672.00600000005</v>
      </c>
      <c r="R344" s="691">
        <f>ROUND('T1'!N61-'T1 ANSP'!N15-'T1 ANSP'!N16-'T1 MET'!N15-'T1 MET'!N16-'T1 NSA'!N61,$D$342)</f>
        <v>341333.984</v>
      </c>
      <c r="S344" s="691">
        <f>ROUND('T1'!O61-'T1 ANSP'!O15-'T1 ANSP'!O16-'T1 MET'!O15-'T1 MET'!O16-'T1 NSA'!O61,$D$342)</f>
        <v>356690.69900000002</v>
      </c>
      <c r="T344" s="691">
        <f>ROUND('T1'!P61-'T1 ANSP'!P15-'T1 ANSP'!P16-'T1 MET'!P15-'T1 MET'!P16-'T1 NSA'!P61,$D$342)</f>
        <v>367966.30800000002</v>
      </c>
    </row>
    <row r="345" spans="1:20" s="686" customFormat="1">
      <c r="A345" s="683" t="s">
        <v>370</v>
      </c>
      <c r="B345" s="684" t="s">
        <v>371</v>
      </c>
      <c r="C345" s="685" t="s">
        <v>372</v>
      </c>
      <c r="D345" s="689"/>
      <c r="E345" s="680"/>
      <c r="F345" s="680"/>
      <c r="P345" s="16"/>
      <c r="R345" s="687" t="b">
        <f>'T2'!D16='T1'!N65</f>
        <v>1</v>
      </c>
      <c r="S345" s="687" t="b">
        <f>'T2'!E16='T1'!O65</f>
        <v>1</v>
      </c>
      <c r="T345" s="687" t="b">
        <f>'T2'!F16='T1'!P65</f>
        <v>1</v>
      </c>
    </row>
    <row r="346" spans="1:20" s="690" customFormat="1" outlineLevel="1">
      <c r="A346" s="683"/>
      <c r="B346" s="684"/>
      <c r="C346" s="692" t="s">
        <v>373</v>
      </c>
      <c r="D346" s="689"/>
      <c r="E346" s="680"/>
      <c r="F346" s="680"/>
      <c r="P346" s="16"/>
      <c r="Q346" s="686"/>
      <c r="R346" s="693">
        <f>'T2'!D16</f>
        <v>111.15895068431999</v>
      </c>
      <c r="S346" s="693">
        <f>'T2'!E16</f>
        <v>113.38212969800639</v>
      </c>
      <c r="T346" s="693">
        <f>'T2'!F16</f>
        <v>115.64977229196653</v>
      </c>
    </row>
    <row r="347" spans="1:20" s="690" customFormat="1" outlineLevel="1">
      <c r="A347" s="683"/>
      <c r="B347" s="684"/>
      <c r="C347" s="692" t="s">
        <v>374</v>
      </c>
      <c r="D347" s="689"/>
      <c r="E347" s="680"/>
      <c r="F347" s="680"/>
      <c r="P347" s="16"/>
      <c r="Q347" s="686"/>
      <c r="R347" s="693">
        <f>'T1'!N65</f>
        <v>111.15895068431999</v>
      </c>
      <c r="S347" s="693">
        <f>'T1'!O65</f>
        <v>113.38212969800639</v>
      </c>
      <c r="T347" s="693">
        <f>'T1'!P65</f>
        <v>115.64977229196653</v>
      </c>
    </row>
    <row r="348" spans="1:20" s="686" customFormat="1">
      <c r="A348" s="683" t="s">
        <v>375</v>
      </c>
      <c r="B348" s="684" t="s">
        <v>376</v>
      </c>
      <c r="C348" s="685" t="s">
        <v>377</v>
      </c>
      <c r="D348" s="675">
        <v>3</v>
      </c>
      <c r="E348" s="680"/>
      <c r="F348" s="680"/>
      <c r="P348" s="16"/>
      <c r="Q348" s="687" t="b">
        <f>ROUND('T2'!C33,$D$348)=ROUND('T1 ANSP'!M61-'T1 ANSP'!M28,$D$348)</f>
        <v>1</v>
      </c>
      <c r="R348" s="687" t="b">
        <f>ROUND('T2'!D33,$D$348)=ROUND('T1 ANSP'!N61-'T1 ANSP'!N28,$D$348)</f>
        <v>1</v>
      </c>
      <c r="S348" s="687" t="b">
        <f>ROUND('T2'!E33,$D$348)=ROUND('T1 ANSP'!O61-'T1 ANSP'!O28,$D$348)</f>
        <v>1</v>
      </c>
      <c r="T348" s="687" t="b">
        <f>ROUND('T2'!F33,$D$348)=ROUND('T1 ANSP'!P61-'T1 ANSP'!P28,$D$348)</f>
        <v>1</v>
      </c>
    </row>
    <row r="349" spans="1:20" s="690" customFormat="1" outlineLevel="1">
      <c r="A349" s="683"/>
      <c r="B349" s="684"/>
      <c r="C349" s="688" t="s">
        <v>378</v>
      </c>
      <c r="D349" s="689"/>
      <c r="E349" s="680"/>
      <c r="F349" s="680"/>
      <c r="P349" s="16"/>
      <c r="Q349" s="691">
        <f>ROUND('T2'!C33,$D$348)</f>
        <v>803042.74100000004</v>
      </c>
      <c r="R349" s="691">
        <f>ROUND('T2'!D33,$D$348)</f>
        <v>400117.95799999998</v>
      </c>
      <c r="S349" s="691">
        <f>ROUND('T2'!E33,$D$348)</f>
        <v>421581.40600000002</v>
      </c>
      <c r="T349" s="691">
        <f>ROUND('T2'!F33,$D$348)</f>
        <v>437181.06900000002</v>
      </c>
    </row>
    <row r="350" spans="1:20" s="690" customFormat="1" outlineLevel="1">
      <c r="A350" s="683"/>
      <c r="B350" s="684"/>
      <c r="C350" s="688" t="s">
        <v>379</v>
      </c>
      <c r="D350" s="689"/>
      <c r="E350" s="680"/>
      <c r="F350" s="680"/>
      <c r="P350" s="16"/>
      <c r="Q350" s="691">
        <f>ROUND('T1 ANSP'!M61-'T1 ANSP'!M28,$D$348)</f>
        <v>803042.74100000004</v>
      </c>
      <c r="R350" s="691">
        <f>ROUND('T1 ANSP'!N61-'T1 ANSP'!N28,$D$348)</f>
        <v>400117.95799999998</v>
      </c>
      <c r="S350" s="691">
        <f>ROUND('T1 ANSP'!O61-'T1 ANSP'!O28,$D$348)</f>
        <v>421581.40600000002</v>
      </c>
      <c r="T350" s="691">
        <f>ROUND('T1 ANSP'!P61-'T1 ANSP'!P28,$D$348)</f>
        <v>437181.06900000002</v>
      </c>
    </row>
    <row r="351" spans="1:20" s="686" customFormat="1">
      <c r="A351" s="683" t="s">
        <v>380</v>
      </c>
      <c r="B351" s="684" t="s">
        <v>381</v>
      </c>
      <c r="C351" s="685" t="s">
        <v>382</v>
      </c>
      <c r="D351" s="675">
        <v>3</v>
      </c>
      <c r="E351" s="680"/>
      <c r="F351" s="680"/>
      <c r="P351" s="16"/>
      <c r="Q351" s="687" t="b">
        <f>ROUND('T2'!C38,$D$351)=ROUND('T1'!M68,$D$351)</f>
        <v>1</v>
      </c>
      <c r="R351" s="687" t="b">
        <f>ROUND('T2'!D38,$D$351)=ROUND('T1'!N68,$D$351)</f>
        <v>1</v>
      </c>
      <c r="S351" s="687" t="b">
        <f>ROUND('T2'!E38,$D$351)=ROUND('T1'!O68,$D$351)</f>
        <v>1</v>
      </c>
      <c r="T351" s="687" t="b">
        <f>ROUND('T2'!F38,$D$351)=ROUND('T1'!P68,$D$351)</f>
        <v>1</v>
      </c>
    </row>
    <row r="352" spans="1:20" s="690" customFormat="1" outlineLevel="1">
      <c r="A352" s="683"/>
      <c r="B352" s="684"/>
      <c r="C352" s="688" t="s">
        <v>383</v>
      </c>
      <c r="D352" s="689"/>
      <c r="E352" s="680"/>
      <c r="F352" s="680"/>
      <c r="P352" s="16"/>
      <c r="Q352" s="691">
        <f>ROUND('T2'!C38,$D$351)</f>
        <v>273.57</v>
      </c>
      <c r="R352" s="691">
        <f>ROUND('T2'!D38,$D$351)</f>
        <v>204.803</v>
      </c>
      <c r="S352" s="691">
        <f>ROUND('T2'!E38,$D$351)</f>
        <v>240.423</v>
      </c>
      <c r="T352" s="691">
        <f>ROUND('T2'!F38,$D$351)</f>
        <v>258.33800000000002</v>
      </c>
    </row>
    <row r="353" spans="1:25" s="690" customFormat="1" outlineLevel="1">
      <c r="A353" s="683"/>
      <c r="B353" s="684"/>
      <c r="C353" s="688" t="s">
        <v>384</v>
      </c>
      <c r="D353" s="689"/>
      <c r="E353" s="680"/>
      <c r="F353" s="680"/>
      <c r="P353" s="16"/>
      <c r="Q353" s="691">
        <f>ROUND('T1'!M68,$D$351)</f>
        <v>273.57</v>
      </c>
      <c r="R353" s="691">
        <f>ROUND('T1'!N68,$D$351)</f>
        <v>204.803</v>
      </c>
      <c r="S353" s="691">
        <f>ROUND('T1'!O68,$D$351)</f>
        <v>240.423</v>
      </c>
      <c r="T353" s="691">
        <f>ROUND('T1'!P68,$D$351)</f>
        <v>258.33800000000002</v>
      </c>
    </row>
    <row r="354" spans="1:25" s="690" customFormat="1" outlineLevel="1">
      <c r="A354" s="683"/>
      <c r="B354" s="684" t="s">
        <v>386</v>
      </c>
      <c r="C354" s="685" t="s">
        <v>387</v>
      </c>
      <c r="D354" s="689"/>
      <c r="E354" s="680"/>
      <c r="F354" s="680"/>
      <c r="P354" s="16"/>
      <c r="Q354" s="687" t="b">
        <f>'T2'!C73=SUM('T2'!C69:C72)</f>
        <v>1</v>
      </c>
      <c r="R354" s="687" t="b">
        <f>'T2'!D73=SUM('T2'!D69:D72)</f>
        <v>1</v>
      </c>
      <c r="S354" s="687" t="b">
        <f>'T2'!E73=SUM('T2'!E69:E72)</f>
        <v>1</v>
      </c>
      <c r="T354" s="687" t="b">
        <f>'T2'!F73=SUM('T2'!F69:F72)</f>
        <v>1</v>
      </c>
    </row>
    <row r="355" spans="1:25" s="690" customFormat="1" outlineLevel="1">
      <c r="A355" s="683"/>
      <c r="B355" s="684"/>
      <c r="C355" s="692" t="s">
        <v>388</v>
      </c>
      <c r="D355" s="689"/>
      <c r="E355" s="680"/>
      <c r="F355" s="680"/>
      <c r="P355" s="16"/>
      <c r="Q355" s="691">
        <f>'T2'!C73</f>
        <v>0</v>
      </c>
      <c r="R355" s="691">
        <f>'T2'!D73</f>
        <v>0</v>
      </c>
      <c r="S355" s="691">
        <f>'T2'!E73</f>
        <v>0</v>
      </c>
      <c r="T355" s="691">
        <f>'T2'!F73</f>
        <v>0</v>
      </c>
    </row>
    <row r="356" spans="1:25" s="690" customFormat="1" outlineLevel="1">
      <c r="A356" s="683"/>
      <c r="B356" s="684"/>
      <c r="C356" s="677" t="s">
        <v>389</v>
      </c>
      <c r="D356" s="689"/>
      <c r="E356" s="680"/>
      <c r="F356" s="680"/>
      <c r="P356" s="16"/>
      <c r="Q356" s="691">
        <f>SUM('T2'!C69:C72)</f>
        <v>0</v>
      </c>
      <c r="R356" s="691">
        <f>SUM('T2'!D69:D72)</f>
        <v>0</v>
      </c>
      <c r="S356" s="691">
        <f>SUM('T2'!E69:E72)</f>
        <v>0</v>
      </c>
      <c r="T356" s="691">
        <f>SUM('T2'!F69:F72)</f>
        <v>0</v>
      </c>
    </row>
    <row r="357" spans="1:25" s="686" customFormat="1">
      <c r="A357" s="683" t="s">
        <v>366</v>
      </c>
      <c r="B357" s="684" t="s">
        <v>390</v>
      </c>
      <c r="C357" s="685" t="s">
        <v>391</v>
      </c>
      <c r="D357" s="675">
        <v>3</v>
      </c>
      <c r="E357" s="680"/>
      <c r="F357" s="680"/>
      <c r="P357" s="16"/>
      <c r="Q357" s="687" t="b">
        <f>ROUND('T2'!C81,$D$357)=ROUND('T2'!C12,$D$357)</f>
        <v>1</v>
      </c>
      <c r="R357" s="687" t="b">
        <f>ROUND('T2'!D81,$D$357)=ROUND('T2'!D12,$D$357)</f>
        <v>1</v>
      </c>
      <c r="S357" s="687" t="b">
        <f>ROUND('T2'!E81,$D$357)=ROUND('T2'!E12,$D$357)</f>
        <v>1</v>
      </c>
      <c r="T357" s="687" t="b">
        <f>ROUND('T2'!F81,$D$357)=ROUND('T2'!F12,$D$357)</f>
        <v>1</v>
      </c>
      <c r="U357" s="690"/>
    </row>
    <row r="358" spans="1:25" s="690" customFormat="1" outlineLevel="1">
      <c r="A358" s="683"/>
      <c r="B358" s="684"/>
      <c r="C358" s="688" t="s">
        <v>392</v>
      </c>
      <c r="D358" s="689"/>
      <c r="E358" s="680"/>
      <c r="F358" s="680"/>
      <c r="P358" s="16"/>
      <c r="Q358" s="691">
        <f>ROUND('T2'!C81,$D$357)</f>
        <v>820743.29299999995</v>
      </c>
      <c r="R358" s="691">
        <f>ROUND('T2'!D81,$D$357)</f>
        <v>409243.45899999997</v>
      </c>
      <c r="S358" s="691">
        <f>ROUND('T2'!E81,$D$357)</f>
        <v>430889.41700000002</v>
      </c>
      <c r="T358" s="691">
        <f>ROUND('T2'!F81,$D$357)</f>
        <v>446675.24</v>
      </c>
    </row>
    <row r="359" spans="1:25" s="690" customFormat="1" outlineLevel="1">
      <c r="A359" s="683"/>
      <c r="B359" s="684"/>
      <c r="C359" s="688" t="s">
        <v>393</v>
      </c>
      <c r="D359" s="689"/>
      <c r="E359" s="680"/>
      <c r="F359" s="680"/>
      <c r="P359" s="16"/>
      <c r="Q359" s="691">
        <f>ROUND('T2'!C12,$D$357)</f>
        <v>820743.29299999995</v>
      </c>
      <c r="R359" s="691">
        <f>ROUND('T2'!D12,$D$357)</f>
        <v>409243.45899999997</v>
      </c>
      <c r="S359" s="691">
        <f>ROUND('T2'!E12,$D$357)</f>
        <v>430889.41700000002</v>
      </c>
      <c r="T359" s="691">
        <f>ROUND('T2'!F12,$D$357)</f>
        <v>446675.24</v>
      </c>
    </row>
    <row r="360" spans="1:25">
      <c r="A360" s="683" t="s">
        <v>394</v>
      </c>
      <c r="B360" s="684" t="s">
        <v>395</v>
      </c>
      <c r="C360" s="694" t="s">
        <v>396</v>
      </c>
      <c r="D360" s="675">
        <v>3</v>
      </c>
      <c r="E360" s="680"/>
      <c r="F360" s="680"/>
      <c r="G360" s="16"/>
      <c r="H360" s="16"/>
      <c r="I360" s="16"/>
      <c r="Q360" s="687" t="b">
        <f>ROUND('T2'!C82,$D$360)=ROUND('T3'!E17+'T3'!F17,$D$360)</f>
        <v>1</v>
      </c>
      <c r="R360" s="687" t="b">
        <f>ROUND('T2'!D82,$D$360)=ROUND('T3'!G17,$D$360)</f>
        <v>1</v>
      </c>
      <c r="S360" s="687" t="b">
        <f>ROUND('T2'!E82,$D$360)=ROUND('T3'!H17,$D$360)</f>
        <v>1</v>
      </c>
      <c r="T360" s="687" t="b">
        <f>ROUND('T2'!F82,$D$360)=ROUND('T3'!I17,$D$360)</f>
        <v>1</v>
      </c>
      <c r="U360" s="690"/>
      <c r="Y360" s="695"/>
    </row>
    <row r="361" spans="1:25" outlineLevel="1">
      <c r="A361" s="696"/>
      <c r="B361" s="684"/>
      <c r="C361" s="697" t="s">
        <v>397</v>
      </c>
      <c r="D361" s="698"/>
      <c r="E361" s="680"/>
      <c r="F361" s="680"/>
      <c r="G361" s="16"/>
      <c r="H361" s="16"/>
      <c r="I361" s="16"/>
      <c r="Q361" s="691">
        <f>ROUND('T2'!C82,$D$360)</f>
        <v>23987.492999999999</v>
      </c>
      <c r="R361" s="691">
        <f>ROUND('T2'!D82,$D$360)</f>
        <v>0</v>
      </c>
      <c r="S361" s="691">
        <f>ROUND('T2'!E82,$D$360)</f>
        <v>0</v>
      </c>
      <c r="T361" s="691">
        <f>ROUND('T2'!F82,$D$360)</f>
        <v>0</v>
      </c>
      <c r="Y361" s="695"/>
    </row>
    <row r="362" spans="1:25" outlineLevel="1">
      <c r="A362" s="696"/>
      <c r="B362" s="684"/>
      <c r="C362" s="697" t="s">
        <v>540</v>
      </c>
      <c r="D362" s="698"/>
      <c r="E362" s="680"/>
      <c r="F362" s="680"/>
      <c r="G362" s="16"/>
      <c r="H362" s="16"/>
      <c r="I362" s="16"/>
      <c r="Q362" s="691">
        <f>ROUND('T3'!E17+'T3'!F17,$D$360)</f>
        <v>23987.492999999999</v>
      </c>
      <c r="R362" s="691">
        <f>ROUND('T3'!G17,$D$360)</f>
        <v>0</v>
      </c>
      <c r="S362" s="691">
        <f>ROUND('T3'!H17,$D$360)</f>
        <v>0</v>
      </c>
      <c r="T362" s="691">
        <f>ROUND('T3'!I17,$D$360)</f>
        <v>0</v>
      </c>
      <c r="Y362" s="695"/>
    </row>
    <row r="363" spans="1:25">
      <c r="A363" s="696" t="s">
        <v>399</v>
      </c>
      <c r="B363" s="684" t="s">
        <v>400</v>
      </c>
      <c r="C363" s="694" t="s">
        <v>401</v>
      </c>
      <c r="D363" s="675">
        <v>3</v>
      </c>
      <c r="E363" s="680"/>
      <c r="F363" s="680"/>
      <c r="G363" s="16"/>
      <c r="H363" s="16"/>
      <c r="I363" s="16"/>
      <c r="Q363" s="687" t="b">
        <f>ROUND('T2'!C83,$D$363)=ROUND('T3'!E28+'T3'!F28,$D$363)</f>
        <v>1</v>
      </c>
      <c r="R363" s="687" t="b">
        <f>ROUND('T2'!D83,$D$363)=ROUND('T3'!G28,$D$363)</f>
        <v>1</v>
      </c>
      <c r="S363" s="687" t="b">
        <f>ROUND('T2'!E83,$D$363)=ROUND('T3'!H28,$D$363)</f>
        <v>1</v>
      </c>
      <c r="T363" s="687" t="b">
        <f>ROUND('T2'!F83,$D$363)=ROUND('T3'!I28,$D$363)</f>
        <v>1</v>
      </c>
      <c r="Y363" s="695"/>
    </row>
    <row r="364" spans="1:25" outlineLevel="1">
      <c r="A364" s="696"/>
      <c r="B364" s="684"/>
      <c r="C364" s="697" t="s">
        <v>397</v>
      </c>
      <c r="D364" s="698"/>
      <c r="E364" s="680"/>
      <c r="F364" s="680"/>
      <c r="G364" s="16"/>
      <c r="H364" s="16"/>
      <c r="I364" s="16"/>
      <c r="Q364" s="691">
        <f>ROUND('T2'!C83,$D$363)</f>
        <v>66819.638000000006</v>
      </c>
      <c r="R364" s="691">
        <f>ROUND('T2'!D83,$D$363)</f>
        <v>0</v>
      </c>
      <c r="S364" s="691">
        <f>ROUND('T2'!E83,$D$363)</f>
        <v>0</v>
      </c>
      <c r="T364" s="691">
        <f>ROUND('T2'!F83,$D$363)</f>
        <v>0</v>
      </c>
      <c r="Y364" s="695"/>
    </row>
    <row r="365" spans="1:25" outlineLevel="1">
      <c r="A365" s="696"/>
      <c r="B365" s="684"/>
      <c r="C365" s="697" t="s">
        <v>540</v>
      </c>
      <c r="D365" s="698"/>
      <c r="E365" s="680"/>
      <c r="F365" s="680"/>
      <c r="G365" s="16"/>
      <c r="H365" s="16"/>
      <c r="I365" s="16"/>
      <c r="Q365" s="691">
        <f>ROUND('T3'!E28+'T3'!F28,$D$363)</f>
        <v>66819.638000000006</v>
      </c>
      <c r="R365" s="691">
        <f>ROUND('T3'!G28,$D$363)</f>
        <v>0</v>
      </c>
      <c r="S365" s="691">
        <f>ROUND('T3'!H28,$D$363)</f>
        <v>0</v>
      </c>
      <c r="T365" s="691">
        <f>ROUND('T3'!I28,$D$363)</f>
        <v>0</v>
      </c>
      <c r="Y365" s="695"/>
    </row>
    <row r="366" spans="1:25">
      <c r="A366" s="696" t="s">
        <v>402</v>
      </c>
      <c r="B366" s="684" t="s">
        <v>403</v>
      </c>
      <c r="C366" s="694" t="s">
        <v>404</v>
      </c>
      <c r="D366" s="675">
        <v>3</v>
      </c>
      <c r="E366" s="680"/>
      <c r="F366" s="680"/>
      <c r="G366" s="16"/>
      <c r="H366" s="16"/>
      <c r="I366" s="16"/>
      <c r="Q366" s="687" t="b">
        <f>ROUND('T2'!C84,$D$366)=ROUND('T3'!E35+'T3'!E42+'T3'!E49+'T3'!E56+'T3'!E63+'T3'!E70+'T3'!E75+'T3'!F35+'T3'!F42+'T3'!F49+'T3'!F56+'T3'!F63+'T3'!F70+'T3'!F75,$D$366)</f>
        <v>1</v>
      </c>
      <c r="R366" s="687" t="b">
        <f>ROUND('T2'!D84,$D$366)=ROUND('T3'!G35+'T3'!G42+'T3'!G49+'T3'!G56+'T3'!G63+'T3'!G70+'T3'!G75,$D$366)</f>
        <v>1</v>
      </c>
      <c r="S366" s="687" t="b">
        <f>ROUND('T2'!E84,$D$366)=ROUND('T3'!H35+'T3'!H42+'T3'!H49+'T3'!H56+'T3'!H63+'T3'!H70+'T3'!H75,$D$366)</f>
        <v>1</v>
      </c>
      <c r="T366" s="687" t="b">
        <f>ROUND('T2'!F84,$D$366)=ROUND('T3'!I35+'T3'!I42+'T3'!I49+'T3'!I56+'T3'!I63+'T3'!I70+'T3'!I75,$D$366)</f>
        <v>1</v>
      </c>
      <c r="Y366" s="695"/>
    </row>
    <row r="367" spans="1:25" outlineLevel="1">
      <c r="A367" s="696"/>
      <c r="B367" s="684"/>
      <c r="C367" s="697" t="s">
        <v>397</v>
      </c>
      <c r="D367" s="698"/>
      <c r="E367" s="680"/>
      <c r="F367" s="680"/>
      <c r="G367" s="16"/>
      <c r="H367" s="16"/>
      <c r="I367" s="16"/>
      <c r="Q367" s="691">
        <f>ROUND('T2'!C84,$D$366)</f>
        <v>0</v>
      </c>
      <c r="R367" s="691">
        <f>ROUND('T2'!D84,$D$366)</f>
        <v>0</v>
      </c>
      <c r="S367" s="691">
        <f>ROUND('T2'!E84,$D$366)</f>
        <v>0</v>
      </c>
      <c r="T367" s="691">
        <f>ROUND('T2'!F84,$D$366)</f>
        <v>0</v>
      </c>
      <c r="Y367" s="695"/>
    </row>
    <row r="368" spans="1:25" outlineLevel="1">
      <c r="A368" s="696"/>
      <c r="B368" s="684"/>
      <c r="C368" s="697" t="s">
        <v>540</v>
      </c>
      <c r="D368" s="698"/>
      <c r="E368" s="680"/>
      <c r="F368" s="680"/>
      <c r="G368" s="16"/>
      <c r="H368" s="16"/>
      <c r="I368" s="16"/>
      <c r="Q368" s="691">
        <f>ROUND('T3'!E35+'T3'!E42+'T3'!E49+'T3'!E56+'T3'!E63+'T3'!E70+'T3'!E75+'T3'!F35+'T3'!F42+'T3'!F49+'T3'!F56+'T3'!F63+'T3'!F70+'T3'!F75,$D$366)</f>
        <v>0</v>
      </c>
      <c r="R368" s="691">
        <f>ROUND('T3'!G35+'T3'!G42+'T3'!G49+'T3'!G56+'T3'!G63+'T3'!G70+'T3'!G75,$D$366)</f>
        <v>0</v>
      </c>
      <c r="S368" s="691">
        <f>ROUND('T3'!H35+'T3'!H42+'T3'!H49+'T3'!H56+'T3'!H63+'T3'!H70+'T3'!H75,$D$366)</f>
        <v>0</v>
      </c>
      <c r="T368" s="691">
        <f>ROUND('T3'!I35+'T3'!I42+'T3'!I49+'T3'!I56+'T3'!I63+'T3'!I70+'T3'!I75,$D$366)</f>
        <v>0</v>
      </c>
      <c r="Y368" s="695"/>
    </row>
    <row r="369" spans="1:25">
      <c r="A369" s="696" t="s">
        <v>405</v>
      </c>
      <c r="B369" s="684" t="s">
        <v>406</v>
      </c>
      <c r="C369" s="694" t="s">
        <v>407</v>
      </c>
      <c r="D369" s="675">
        <v>3</v>
      </c>
      <c r="E369" s="680"/>
      <c r="F369" s="680"/>
      <c r="G369" s="16"/>
      <c r="H369" s="16"/>
      <c r="I369" s="16"/>
      <c r="Q369" s="687" t="b">
        <f>ROUND('T2'!C85,$D$369)=ROUND('T3'!E86+'T3'!F86,$D$369)</f>
        <v>1</v>
      </c>
      <c r="R369" s="687" t="b">
        <f>ROUND('T2'!D85,$D$369)=ROUND('T3'!G86,$D$369)</f>
        <v>1</v>
      </c>
      <c r="S369" s="687" t="b">
        <f>ROUND('T2'!E85,$D$369)=ROUND('T3'!H86,$D$369)</f>
        <v>1</v>
      </c>
      <c r="T369" s="687" t="b">
        <f>ROUND('T2'!F85,$D$369)=ROUND('T3'!I86,$D$369)</f>
        <v>1</v>
      </c>
      <c r="Y369" s="695"/>
    </row>
    <row r="370" spans="1:25" outlineLevel="1">
      <c r="A370" s="696"/>
      <c r="B370" s="684"/>
      <c r="C370" s="697" t="s">
        <v>397</v>
      </c>
      <c r="D370" s="698"/>
      <c r="E370" s="680"/>
      <c r="F370" s="680"/>
      <c r="G370" s="16"/>
      <c r="H370" s="16"/>
      <c r="I370" s="16"/>
      <c r="Q370" s="691">
        <f>ROUND('T2'!C85,$D$369)</f>
        <v>9496.2780000000002</v>
      </c>
      <c r="R370" s="691">
        <f>ROUND('T2'!D85,$D$369)</f>
        <v>0</v>
      </c>
      <c r="S370" s="691">
        <f>ROUND('T2'!E85,$D$369)</f>
        <v>0</v>
      </c>
      <c r="T370" s="691">
        <f>ROUND('T2'!F85,$D$369)</f>
        <v>0</v>
      </c>
      <c r="Y370" s="695"/>
    </row>
    <row r="371" spans="1:25" outlineLevel="1">
      <c r="A371" s="696"/>
      <c r="B371" s="684"/>
      <c r="C371" s="697" t="s">
        <v>540</v>
      </c>
      <c r="D371" s="698"/>
      <c r="E371" s="680"/>
      <c r="F371" s="680"/>
      <c r="G371" s="16"/>
      <c r="H371" s="16"/>
      <c r="I371" s="16"/>
      <c r="Q371" s="691">
        <f>ROUND('T3'!E86+'T3'!F86,$D$369)</f>
        <v>9496.2780000000002</v>
      </c>
      <c r="R371" s="691">
        <f>ROUND('T3'!G86,$D$369)</f>
        <v>0</v>
      </c>
      <c r="S371" s="691">
        <f>ROUND('T3'!H86,$D$369)</f>
        <v>0</v>
      </c>
      <c r="T371" s="691">
        <f>ROUND('T3'!I86,$D$369)</f>
        <v>0</v>
      </c>
      <c r="Y371" s="695"/>
    </row>
    <row r="372" spans="1:25">
      <c r="A372" s="696" t="s">
        <v>408</v>
      </c>
      <c r="B372" s="684" t="s">
        <v>409</v>
      </c>
      <c r="C372" s="694" t="s">
        <v>410</v>
      </c>
      <c r="D372" s="675">
        <v>3</v>
      </c>
      <c r="E372" s="680"/>
      <c r="F372" s="680"/>
      <c r="G372" s="16"/>
      <c r="H372" s="16"/>
      <c r="I372" s="16"/>
      <c r="Q372" s="687" t="b">
        <f>ROUND('T2'!C86,$D$372)=ROUND('T3'!E97+'T3'!F97,$D$372)</f>
        <v>1</v>
      </c>
      <c r="R372" s="687" t="b">
        <f>ROUND('T2'!D86,$D$372)=ROUND('T3'!G97,$D$372)</f>
        <v>1</v>
      </c>
      <c r="S372" s="687" t="b">
        <f>ROUND('T2'!E86,$D$372)=ROUND('T3'!H97,$D$372)</f>
        <v>1</v>
      </c>
      <c r="T372" s="687" t="b">
        <f>ROUND('T2'!F86,$D$372)=ROUND('T3'!I97,$D$372)</f>
        <v>1</v>
      </c>
      <c r="Y372" s="695"/>
    </row>
    <row r="373" spans="1:25" outlineLevel="1">
      <c r="A373" s="696"/>
      <c r="B373" s="684"/>
      <c r="C373" s="697" t="s">
        <v>397</v>
      </c>
      <c r="D373" s="698"/>
      <c r="E373" s="680"/>
      <c r="F373" s="680"/>
      <c r="G373" s="16"/>
      <c r="H373" s="16"/>
      <c r="I373" s="16"/>
      <c r="Q373" s="691">
        <f>ROUND('T2'!C86,$D$372)</f>
        <v>0</v>
      </c>
      <c r="R373" s="691">
        <f>ROUND('T2'!D86,$D$372)</f>
        <v>0</v>
      </c>
      <c r="S373" s="691">
        <f>ROUND('T2'!E86,$D$372)</f>
        <v>0</v>
      </c>
      <c r="T373" s="691">
        <f>ROUND('T2'!F86,$D$372)</f>
        <v>0</v>
      </c>
      <c r="Y373" s="695"/>
    </row>
    <row r="374" spans="1:25" outlineLevel="1">
      <c r="A374" s="696"/>
      <c r="B374" s="684"/>
      <c r="C374" s="697" t="s">
        <v>540</v>
      </c>
      <c r="D374" s="698"/>
      <c r="E374" s="680"/>
      <c r="F374" s="680"/>
      <c r="G374" s="16"/>
      <c r="H374" s="16"/>
      <c r="I374" s="16"/>
      <c r="Q374" s="691">
        <f>ROUND('T3'!E97+'T3'!F97,$D$372)</f>
        <v>0</v>
      </c>
      <c r="R374" s="691">
        <f>ROUND('T3'!G97,$D$372)</f>
        <v>0</v>
      </c>
      <c r="S374" s="691">
        <f>ROUND('T3'!H97,$D$372)</f>
        <v>0</v>
      </c>
      <c r="T374" s="691">
        <f>ROUND('T3'!I97,$D$372)</f>
        <v>0</v>
      </c>
      <c r="Y374" s="695"/>
    </row>
    <row r="375" spans="1:25">
      <c r="A375" s="696" t="s">
        <v>411</v>
      </c>
      <c r="B375" s="684" t="s">
        <v>412</v>
      </c>
      <c r="C375" s="694" t="s">
        <v>413</v>
      </c>
      <c r="D375" s="675">
        <v>3</v>
      </c>
      <c r="E375" s="680"/>
      <c r="F375" s="680"/>
      <c r="G375" s="16"/>
      <c r="H375" s="16"/>
      <c r="I375" s="16"/>
      <c r="Q375" s="687" t="b">
        <f>ROUND('T2'!C87,$D$375)=ROUND('T3'!E114+'T3'!F114,$D$375)</f>
        <v>1</v>
      </c>
      <c r="R375" s="687" t="b">
        <f>ROUND('T2'!D87,$D$375)=ROUND('T3'!G114,$D$375)</f>
        <v>1</v>
      </c>
      <c r="S375" s="687" t="b">
        <f>ROUND('T2'!E87,$D$375)=ROUND('T3'!H114,$D$375)</f>
        <v>1</v>
      </c>
      <c r="T375" s="687" t="b">
        <f>ROUND('T2'!F87,$D$375)=ROUND('T3'!I114,$D$375)</f>
        <v>1</v>
      </c>
    </row>
    <row r="376" spans="1:25" outlineLevel="1">
      <c r="A376" s="696"/>
      <c r="B376" s="684"/>
      <c r="C376" s="697" t="s">
        <v>397</v>
      </c>
      <c r="D376" s="698"/>
      <c r="E376" s="680"/>
      <c r="F376" s="680"/>
      <c r="G376" s="16"/>
      <c r="H376" s="16"/>
      <c r="I376" s="16"/>
      <c r="Q376" s="691">
        <f>ROUND('T2'!C87,$D$375)</f>
        <v>14907.999</v>
      </c>
      <c r="R376" s="691">
        <f>ROUND('T2'!D87,$D$375)</f>
        <v>25426.39</v>
      </c>
      <c r="S376" s="691">
        <f>ROUND('T2'!E87,$D$375)</f>
        <v>30948.246999999999</v>
      </c>
      <c r="T376" s="691">
        <f>ROUND('T2'!F87,$D$375)</f>
        <v>0</v>
      </c>
    </row>
    <row r="377" spans="1:25" outlineLevel="1">
      <c r="A377" s="696"/>
      <c r="B377" s="684"/>
      <c r="C377" s="697" t="s">
        <v>540</v>
      </c>
      <c r="D377" s="698"/>
      <c r="E377" s="680"/>
      <c r="F377" s="680"/>
      <c r="G377" s="16"/>
      <c r="H377" s="16"/>
      <c r="I377" s="16"/>
      <c r="Q377" s="691">
        <f>ROUND('T3'!E114+'T3'!F114,$D$375)</f>
        <v>14907.999</v>
      </c>
      <c r="R377" s="691">
        <f>ROUND('T3'!G114,$D$375)</f>
        <v>25426.39</v>
      </c>
      <c r="S377" s="691">
        <f>ROUND('T3'!H114,$D$375)</f>
        <v>30948.246999999999</v>
      </c>
      <c r="T377" s="691">
        <f>ROUND('T3'!I114,$D$375)</f>
        <v>0</v>
      </c>
    </row>
    <row r="378" spans="1:25">
      <c r="A378" s="696" t="s">
        <v>414</v>
      </c>
      <c r="B378" s="684" t="s">
        <v>415</v>
      </c>
      <c r="C378" s="694" t="s">
        <v>416</v>
      </c>
      <c r="D378" s="675">
        <v>3</v>
      </c>
      <c r="E378" s="680"/>
      <c r="F378" s="680"/>
      <c r="G378" s="16"/>
      <c r="H378" s="16"/>
      <c r="I378" s="16"/>
      <c r="Q378" s="687" t="b">
        <f>ROUND('T2'!C88,$D$378)=ROUND('T3'!E125+'T3'!E136+'T3'!E147+'T3'!E158+'T3'!F125+'T3'!F136+'T3'!F147+'T3'!F158,$D$378)</f>
        <v>1</v>
      </c>
      <c r="R378" s="687" t="b">
        <f>ROUND('T2'!D88,$D$378)=ROUND('T3'!G125+'T3'!G136+'T3'!G147+'T3'!G158,$D$378)</f>
        <v>1</v>
      </c>
      <c r="S378" s="687" t="b">
        <f>ROUND('T2'!E88,$D$378)=ROUND('T3'!H125+'T3'!H136+'T3'!H147+'T3'!H158,$D$378)</f>
        <v>1</v>
      </c>
      <c r="T378" s="687" t="b">
        <f>ROUND('T2'!F88,$D$378)=ROUND('T3'!I125+'T3'!I136+'T3'!I147+'T3'!I158,$D$378)</f>
        <v>1</v>
      </c>
    </row>
    <row r="379" spans="1:25" outlineLevel="1">
      <c r="A379" s="696"/>
      <c r="B379" s="684"/>
      <c r="C379" s="697" t="s">
        <v>397</v>
      </c>
      <c r="D379" s="698"/>
      <c r="E379" s="680"/>
      <c r="F379" s="680"/>
      <c r="G379" s="16"/>
      <c r="H379" s="16"/>
      <c r="I379" s="16"/>
      <c r="Q379" s="691">
        <f>ROUND('T2'!C88,$D$378)</f>
        <v>0</v>
      </c>
      <c r="R379" s="691">
        <f>ROUND('T2'!D88,$D$378)</f>
        <v>0</v>
      </c>
      <c r="S379" s="691">
        <f>ROUND('T2'!E88,$D$378)</f>
        <v>0</v>
      </c>
      <c r="T379" s="691">
        <f>ROUND('T2'!F88,$D$378)</f>
        <v>0</v>
      </c>
    </row>
    <row r="380" spans="1:25" outlineLevel="1">
      <c r="A380" s="696"/>
      <c r="B380" s="684"/>
      <c r="C380" s="697" t="s">
        <v>540</v>
      </c>
      <c r="D380" s="698"/>
      <c r="E380" s="680"/>
      <c r="F380" s="680"/>
      <c r="G380" s="16"/>
      <c r="H380" s="16"/>
      <c r="I380" s="16"/>
      <c r="Q380" s="691">
        <f>ROUND('T3'!E125+'T3'!E136+'T3'!E147+'T3'!E158+'T3'!F125+'T3'!F136+'T3'!F147+'T3'!F158,$D$378)</f>
        <v>0</v>
      </c>
      <c r="R380" s="691">
        <f>ROUND('T3'!G125+'T3'!G136+'T3'!G147+'T3'!G158,$D$378)</f>
        <v>0</v>
      </c>
      <c r="S380" s="691">
        <f>ROUND('T3'!H125+'T3'!H136+'T3'!H147+'T3'!H158,$D$378)</f>
        <v>0</v>
      </c>
      <c r="T380" s="691">
        <f>ROUND('T3'!I125+'T3'!I136+'T3'!I147+'T3'!I158,$D$378)</f>
        <v>0</v>
      </c>
    </row>
    <row r="381" spans="1:25">
      <c r="A381" s="696" t="s">
        <v>417</v>
      </c>
      <c r="B381" s="684" t="s">
        <v>418</v>
      </c>
      <c r="C381" s="694" t="s">
        <v>419</v>
      </c>
      <c r="D381" s="675">
        <v>3</v>
      </c>
      <c r="E381" s="680"/>
      <c r="F381" s="680"/>
      <c r="G381" s="16"/>
      <c r="H381" s="16"/>
      <c r="I381" s="16"/>
      <c r="Q381" s="687" t="b">
        <f>ROUND('T2'!C89,$D$381)=ROUND('T3'!E172+'T3'!F172,$D$381)</f>
        <v>1</v>
      </c>
      <c r="R381" s="687" t="b">
        <f>ROUND('T2'!D89,$D$381)=ROUND('T3'!G172,$D$381)</f>
        <v>1</v>
      </c>
      <c r="S381" s="687" t="b">
        <f>ROUND('T2'!E89,$D$381)=ROUND('T3'!H172,$D$381)</f>
        <v>1</v>
      </c>
      <c r="T381" s="687" t="b">
        <f>ROUND('T2'!F89,$D$381)=ROUND('T3'!I172,$D$381)</f>
        <v>1</v>
      </c>
    </row>
    <row r="382" spans="1:25" outlineLevel="1">
      <c r="A382" s="696"/>
      <c r="B382" s="684"/>
      <c r="C382" s="697" t="s">
        <v>397</v>
      </c>
      <c r="D382" s="698"/>
      <c r="E382" s="680"/>
      <c r="F382" s="680"/>
      <c r="G382" s="16"/>
      <c r="H382" s="16"/>
      <c r="I382" s="16"/>
      <c r="Q382" s="691">
        <f>ROUND('T2'!C89,$D$381)</f>
        <v>0</v>
      </c>
      <c r="R382" s="691">
        <f>ROUND('T2'!D89,$D$381)</f>
        <v>0</v>
      </c>
      <c r="S382" s="691">
        <f>ROUND('T2'!E89,$D$381)</f>
        <v>0</v>
      </c>
      <c r="T382" s="691">
        <f>ROUND('T2'!F89,$D$381)</f>
        <v>0</v>
      </c>
    </row>
    <row r="383" spans="1:25" outlineLevel="1">
      <c r="A383" s="696"/>
      <c r="B383" s="684"/>
      <c r="C383" s="697" t="s">
        <v>540</v>
      </c>
      <c r="D383" s="698"/>
      <c r="E383" s="680"/>
      <c r="F383" s="680"/>
      <c r="G383" s="16"/>
      <c r="H383" s="16"/>
      <c r="I383" s="16"/>
      <c r="Q383" s="691">
        <f>ROUND('T3'!E172+'T3'!F172,$D$381)</f>
        <v>0</v>
      </c>
      <c r="R383" s="691">
        <f>ROUND('T3'!G172,$D$381)</f>
        <v>0</v>
      </c>
      <c r="S383" s="691">
        <f>ROUND('T3'!H172,$D$381)</f>
        <v>0</v>
      </c>
      <c r="T383" s="691">
        <f>ROUND('T3'!I172,$D$381)</f>
        <v>0</v>
      </c>
    </row>
    <row r="384" spans="1:25">
      <c r="A384" s="696" t="s">
        <v>420</v>
      </c>
      <c r="B384" s="684" t="s">
        <v>421</v>
      </c>
      <c r="C384" s="694" t="s">
        <v>422</v>
      </c>
      <c r="D384" s="675">
        <v>3</v>
      </c>
      <c r="E384" s="680"/>
      <c r="F384" s="680"/>
      <c r="G384" s="16"/>
      <c r="H384" s="16"/>
      <c r="I384" s="16"/>
      <c r="Q384" s="687" t="b">
        <f>ROUND('T2'!C90,$D$384)=ROUND('T3'!E165+'T3'!F165,$D$384)</f>
        <v>1</v>
      </c>
      <c r="R384" s="687" t="b">
        <f>ROUND('T2'!D90,$D$384)=ROUND('T3'!G165,$D$384)</f>
        <v>1</v>
      </c>
      <c r="S384" s="687" t="b">
        <f>ROUND('T2'!E90,$D$384)=ROUND('T3'!H165,$D$384)</f>
        <v>1</v>
      </c>
      <c r="T384" s="687" t="b">
        <f>ROUND('T2'!F90,$D$384)=ROUND('T3'!I165,$D$384)</f>
        <v>1</v>
      </c>
    </row>
    <row r="385" spans="1:25" outlineLevel="1">
      <c r="A385" s="696"/>
      <c r="B385" s="684"/>
      <c r="C385" s="697" t="s">
        <v>397</v>
      </c>
      <c r="D385" s="698"/>
      <c r="E385" s="680"/>
      <c r="F385" s="680"/>
      <c r="G385" s="16"/>
      <c r="H385" s="16"/>
      <c r="I385" s="16"/>
      <c r="Q385" s="691">
        <f>ROUND('T2'!C90,$D$384)</f>
        <v>0</v>
      </c>
      <c r="R385" s="691">
        <f>ROUND('T2'!D90,$D$384)</f>
        <v>0</v>
      </c>
      <c r="S385" s="691">
        <f>ROUND('T2'!E90,$D$384)</f>
        <v>0</v>
      </c>
      <c r="T385" s="691">
        <f>ROUND('T2'!F90,$D$384)</f>
        <v>0</v>
      </c>
    </row>
    <row r="386" spans="1:25" outlineLevel="1">
      <c r="A386" s="696"/>
      <c r="B386" s="684"/>
      <c r="C386" s="697" t="s">
        <v>540</v>
      </c>
      <c r="D386" s="698"/>
      <c r="E386" s="680"/>
      <c r="F386" s="680"/>
      <c r="G386" s="16"/>
      <c r="H386" s="16"/>
      <c r="I386" s="16"/>
      <c r="Q386" s="691">
        <f>ROUND('T3'!E165+'T3'!F165,$D$384)</f>
        <v>0</v>
      </c>
      <c r="R386" s="691">
        <f>ROUND('T3'!G165,$D$384)</f>
        <v>0</v>
      </c>
      <c r="S386" s="691">
        <f>ROUND('T3'!H165,$D$384)</f>
        <v>0</v>
      </c>
      <c r="T386" s="691">
        <f>ROUND('T3'!I165,$D$384)</f>
        <v>0</v>
      </c>
    </row>
    <row r="387" spans="1:25" s="699" customFormat="1">
      <c r="A387" s="683" t="s">
        <v>423</v>
      </c>
      <c r="B387" s="684" t="s">
        <v>424</v>
      </c>
      <c r="C387" s="694" t="s">
        <v>425</v>
      </c>
      <c r="D387" s="675">
        <v>3</v>
      </c>
      <c r="E387" s="680"/>
      <c r="F387" s="680"/>
      <c r="P387" s="16"/>
      <c r="Q387" s="687" t="b">
        <f>ROUND(SUM('T2'!C82:C90),$D$387)=ROUND('T3'!E175+'T3'!F175,$D$387)</f>
        <v>1</v>
      </c>
      <c r="R387" s="687" t="b">
        <f>ROUND(SUM('T2'!D82:D90),$D$387)=ROUND('T3'!G175,$D$387)</f>
        <v>1</v>
      </c>
      <c r="S387" s="687" t="b">
        <f>ROUND(SUM('T2'!E82:E90),$D$387)=ROUND('T3'!H175,$D$387)</f>
        <v>1</v>
      </c>
      <c r="T387" s="687" t="b">
        <f>ROUND(SUM('T2'!F82:F90),$D$387)=ROUND('T3'!I175,$D$387)</f>
        <v>1</v>
      </c>
      <c r="U387" s="16"/>
      <c r="W387" s="680"/>
      <c r="X387" s="680"/>
      <c r="Y387" s="680"/>
    </row>
    <row r="388" spans="1:25" outlineLevel="1">
      <c r="A388" s="684"/>
      <c r="B388" s="684"/>
      <c r="C388" s="697" t="s">
        <v>426</v>
      </c>
      <c r="D388" s="698"/>
      <c r="E388" s="680"/>
      <c r="F388" s="680"/>
      <c r="G388" s="16"/>
      <c r="H388" s="16"/>
      <c r="I388" s="16"/>
      <c r="Q388" s="691">
        <f>ROUND(SUM('T2'!C82:C90),$D$387)</f>
        <v>115211.408</v>
      </c>
      <c r="R388" s="691">
        <f>ROUND(SUM('T2'!D82:D90),$D$387)</f>
        <v>25426.39</v>
      </c>
      <c r="S388" s="691">
        <f>ROUND(SUM('T2'!E82:E90),$D$387)</f>
        <v>30948.246999999999</v>
      </c>
      <c r="T388" s="691">
        <f>ROUND(SUM('T2'!F82:F90),$D$387)</f>
        <v>0</v>
      </c>
      <c r="W388" s="680"/>
      <c r="X388" s="680"/>
      <c r="Y388" s="680"/>
    </row>
    <row r="389" spans="1:25" outlineLevel="1">
      <c r="A389" s="684"/>
      <c r="B389" s="684"/>
      <c r="C389" s="697" t="s">
        <v>541</v>
      </c>
      <c r="D389" s="698"/>
      <c r="E389" s="680"/>
      <c r="F389" s="680"/>
      <c r="G389" s="16"/>
      <c r="H389" s="16"/>
      <c r="I389" s="16"/>
      <c r="Q389" s="691">
        <f>ROUND('T3'!E175+'T3'!F175,$D$387)</f>
        <v>115211.408</v>
      </c>
      <c r="R389" s="691">
        <f>ROUND('T3'!G175,$D$387)</f>
        <v>25426.39</v>
      </c>
      <c r="S389" s="691">
        <f>ROUND('T3'!H175,$D$387)</f>
        <v>30948.246999999999</v>
      </c>
      <c r="T389" s="691">
        <f>ROUND('T3'!I175,$D$387)</f>
        <v>0</v>
      </c>
      <c r="W389" s="680"/>
      <c r="X389" s="680"/>
      <c r="Y389" s="680"/>
    </row>
    <row r="390" spans="1:25" s="686" customFormat="1">
      <c r="A390" s="683" t="s">
        <v>427</v>
      </c>
      <c r="B390" s="684" t="s">
        <v>428</v>
      </c>
      <c r="C390" s="685" t="s">
        <v>429</v>
      </c>
      <c r="D390" s="675">
        <v>3</v>
      </c>
      <c r="E390" s="680"/>
      <c r="F390" s="680"/>
      <c r="P390" s="16"/>
      <c r="Q390" s="687" t="b">
        <f>ROUND('T2'!C91,$D$390)=ROUND(SUM('T2'!C81:C90),$D$390)</f>
        <v>1</v>
      </c>
      <c r="R390" s="687" t="b">
        <f>ROUND('T2'!D91,$D$390)=ROUND(SUM('T2'!D81:D90),$D$390)</f>
        <v>1</v>
      </c>
      <c r="S390" s="687" t="b">
        <f>ROUND('T2'!E91,$D$390)=ROUND(SUM('T2'!E81:E90),$D$390)</f>
        <v>1</v>
      </c>
      <c r="T390" s="687" t="b">
        <f>ROUND('T2'!F91,$D$390)=ROUND(SUM('T2'!F81:F90),$D$390)</f>
        <v>1</v>
      </c>
    </row>
    <row r="391" spans="1:25" s="690" customFormat="1" outlineLevel="1">
      <c r="A391" s="683"/>
      <c r="B391" s="684"/>
      <c r="C391" s="692" t="s">
        <v>430</v>
      </c>
      <c r="D391" s="689"/>
      <c r="E391" s="680"/>
      <c r="F391" s="680"/>
      <c r="P391" s="16"/>
      <c r="Q391" s="691">
        <f>ROUND('T2'!C91,$D$390)</f>
        <v>935954.701</v>
      </c>
      <c r="R391" s="691">
        <f>ROUND('T2'!D91,$D$390)</f>
        <v>434669.84899999999</v>
      </c>
      <c r="S391" s="691">
        <f>ROUND('T2'!E91,$D$390)</f>
        <v>461837.66399999999</v>
      </c>
      <c r="T391" s="691">
        <f>ROUND('T2'!F91,$D$390)</f>
        <v>446675.24</v>
      </c>
    </row>
    <row r="392" spans="1:25" s="690" customFormat="1" outlineLevel="1">
      <c r="A392" s="683"/>
      <c r="B392" s="684"/>
      <c r="C392" s="677" t="s">
        <v>431</v>
      </c>
      <c r="D392" s="689"/>
      <c r="E392" s="680"/>
      <c r="F392" s="680"/>
      <c r="P392" s="16"/>
      <c r="Q392" s="691">
        <f>ROUND(SUM('T2'!C81:C90),$D$390)</f>
        <v>935954.701</v>
      </c>
      <c r="R392" s="691">
        <f>ROUND(SUM('T2'!D81:D90),$D$390)</f>
        <v>434669.84899999999</v>
      </c>
      <c r="S392" s="691">
        <f>ROUND(SUM('T2'!E81:E90),$D$390)</f>
        <v>461837.66399999999</v>
      </c>
      <c r="T392" s="691">
        <f>ROUND(SUM('T2'!F81:F90),$D$390)</f>
        <v>446675.24</v>
      </c>
    </row>
    <row r="393" spans="1:25" s="686" customFormat="1">
      <c r="A393" s="683" t="s">
        <v>432</v>
      </c>
      <c r="B393" s="684" t="s">
        <v>433</v>
      </c>
      <c r="C393" s="685" t="s">
        <v>434</v>
      </c>
      <c r="D393" s="675">
        <v>3</v>
      </c>
      <c r="E393" s="680"/>
      <c r="F393" s="680"/>
      <c r="P393" s="16"/>
      <c r="Q393" s="687" t="b">
        <f>ROUND('T2'!C92,$D$393)=ROUND('T2'!C38,$D$393)</f>
        <v>1</v>
      </c>
      <c r="R393" s="687" t="b">
        <f>ROUND('T2'!D92,$D$393)=ROUND('T2'!D38,$D$393)</f>
        <v>1</v>
      </c>
      <c r="S393" s="687" t="b">
        <f>ROUND('T2'!E92,$D$393)=ROUND('T2'!E38,$D$393)</f>
        <v>1</v>
      </c>
      <c r="T393" s="687" t="b">
        <f>ROUND('T2'!F92,$D$393)=ROUND('T2'!F38,$D$393)</f>
        <v>1</v>
      </c>
    </row>
    <row r="394" spans="1:25" s="690" customFormat="1" outlineLevel="1">
      <c r="A394" s="683"/>
      <c r="B394" s="684"/>
      <c r="C394" s="688" t="s">
        <v>435</v>
      </c>
      <c r="D394" s="689"/>
      <c r="E394" s="680"/>
      <c r="F394" s="680"/>
      <c r="P394" s="16"/>
      <c r="Q394" s="691">
        <f>ROUND('T2'!C92,$D$393)</f>
        <v>273.57</v>
      </c>
      <c r="R394" s="691">
        <f>ROUND('T2'!D92,$D$393)</f>
        <v>204.803</v>
      </c>
      <c r="S394" s="691">
        <f>ROUND('T2'!E92,$D$393)</f>
        <v>240.423</v>
      </c>
      <c r="T394" s="691">
        <f>ROUND('T2'!F92,$D$393)</f>
        <v>258.33800000000002</v>
      </c>
    </row>
    <row r="395" spans="1:25" s="690" customFormat="1" outlineLevel="1">
      <c r="A395" s="683"/>
      <c r="B395" s="684"/>
      <c r="C395" s="688" t="s">
        <v>436</v>
      </c>
      <c r="D395" s="689"/>
      <c r="E395" s="680"/>
      <c r="F395" s="680"/>
      <c r="P395" s="16"/>
      <c r="Q395" s="691">
        <f>ROUND('T2'!C38,$D$393)</f>
        <v>273.57</v>
      </c>
      <c r="R395" s="691">
        <f>ROUND('T2'!D38,$D$393)</f>
        <v>204.803</v>
      </c>
      <c r="S395" s="691">
        <f>ROUND('T2'!E38,$D$393)</f>
        <v>240.423</v>
      </c>
      <c r="T395" s="691">
        <f>ROUND('T2'!F38,$D$393)</f>
        <v>258.33800000000002</v>
      </c>
    </row>
    <row r="396" spans="1:25" s="686" customFormat="1">
      <c r="A396" s="683" t="s">
        <v>437</v>
      </c>
      <c r="B396" s="684" t="s">
        <v>438</v>
      </c>
      <c r="C396" s="685" t="s">
        <v>439</v>
      </c>
      <c r="D396" s="675">
        <v>2</v>
      </c>
      <c r="E396" s="680"/>
      <c r="F396" s="680"/>
      <c r="P396" s="16"/>
      <c r="Q396" s="700" t="b">
        <f>ROUND('T2'!C93,$D$396)=ROUND('T2'!C91/'T2'!C92,$D$396)</f>
        <v>1</v>
      </c>
      <c r="R396" s="700" t="b">
        <f>ROUND('T2'!D93,$D$396)=ROUND('T2'!D91/'T2'!D92,$D$396)</f>
        <v>1</v>
      </c>
      <c r="S396" s="700" t="b">
        <f>ROUND('T2'!E93,$D$396)=ROUND('T2'!E91/'T2'!E92,$D$396)</f>
        <v>1</v>
      </c>
      <c r="T396" s="700" t="b">
        <f>ROUND('T2'!F93,$D$396)=ROUND('T2'!F91/'T2'!F92,$D$396)</f>
        <v>1</v>
      </c>
    </row>
    <row r="397" spans="1:25" s="690" customFormat="1" outlineLevel="1">
      <c r="A397" s="683"/>
      <c r="B397" s="684"/>
      <c r="C397" s="688" t="s">
        <v>440</v>
      </c>
      <c r="D397" s="689"/>
      <c r="E397" s="680"/>
      <c r="F397" s="680"/>
      <c r="P397" s="16"/>
      <c r="Q397" s="693">
        <f>ROUND('T2'!C93,$D$396)</f>
        <v>3421.27</v>
      </c>
      <c r="R397" s="693">
        <f>ROUND('T2'!D93,$D$396)</f>
        <v>2122.38</v>
      </c>
      <c r="S397" s="693">
        <f>ROUND('T2'!E93,$D$396)</f>
        <v>1920.94</v>
      </c>
      <c r="T397" s="693">
        <f>ROUND('T2'!F93,$D$396)</f>
        <v>1729.03</v>
      </c>
    </row>
    <row r="398" spans="1:25" s="690" customFormat="1" outlineLevel="1">
      <c r="A398" s="683"/>
      <c r="B398" s="684"/>
      <c r="C398" s="677" t="s">
        <v>441</v>
      </c>
      <c r="D398" s="689"/>
      <c r="E398" s="680"/>
      <c r="F398" s="680"/>
      <c r="P398" s="16"/>
      <c r="Q398" s="693">
        <f>ROUND('T2'!C91/'T2'!C92,$D$396)</f>
        <v>3421.27</v>
      </c>
      <c r="R398" s="693">
        <f>ROUND('T2'!D91/'T2'!D92,$D$396)</f>
        <v>2122.38</v>
      </c>
      <c r="S398" s="693">
        <f>ROUND('T2'!E91/'T2'!E92,$D$396)</f>
        <v>1920.94</v>
      </c>
      <c r="T398" s="693">
        <f>ROUND('T2'!F91/'T2'!F92,$D$396)</f>
        <v>1729.03</v>
      </c>
    </row>
    <row r="399" spans="1:25" s="690" customFormat="1" outlineLevel="1">
      <c r="A399" s="683" t="s">
        <v>543</v>
      </c>
      <c r="B399" s="684" t="s">
        <v>544</v>
      </c>
      <c r="C399" s="685" t="s">
        <v>545</v>
      </c>
      <c r="D399" s="689"/>
      <c r="E399" s="680"/>
      <c r="F399" s="680"/>
      <c r="P399" s="16"/>
      <c r="Q399" s="687" t="b">
        <f>'T2'!C94&lt;=0</f>
        <v>1</v>
      </c>
      <c r="R399" s="687" t="b">
        <f>'T2'!D94&lt;=0</f>
        <v>1</v>
      </c>
      <c r="S399" s="687" t="b">
        <f>'T2'!E94&lt;=0</f>
        <v>1</v>
      </c>
      <c r="T399" s="687" t="b">
        <f>'T2'!F94&lt;=0</f>
        <v>1</v>
      </c>
    </row>
    <row r="400" spans="1:25" s="690" customFormat="1" outlineLevel="1">
      <c r="A400" s="683"/>
      <c r="B400" s="684"/>
      <c r="C400" s="688" t="s">
        <v>546</v>
      </c>
      <c r="D400" s="689"/>
      <c r="E400" s="680"/>
      <c r="F400" s="680"/>
      <c r="P400" s="16"/>
      <c r="Q400" s="691">
        <f>'T2'!C94</f>
        <v>-1571.5681251942171</v>
      </c>
      <c r="R400" s="691">
        <f>'T2'!D94</f>
        <v>-200.79395952704678</v>
      </c>
      <c r="S400" s="691">
        <f>'T2'!E94</f>
        <v>0</v>
      </c>
      <c r="T400" s="691">
        <f>'T2'!F94</f>
        <v>0</v>
      </c>
    </row>
    <row r="401" spans="1:20" s="686" customFormat="1">
      <c r="A401" s="683" t="s">
        <v>442</v>
      </c>
      <c r="B401" s="684" t="s">
        <v>443</v>
      </c>
      <c r="C401" s="685" t="s">
        <v>444</v>
      </c>
      <c r="D401" s="675">
        <v>2</v>
      </c>
      <c r="E401" s="680"/>
      <c r="F401" s="680"/>
      <c r="P401" s="16"/>
      <c r="Q401" s="700" t="b">
        <f>ROUND('T2'!C96,$D$401)=ROUND('T2'!C93+'T2'!C94,$D$401)</f>
        <v>1</v>
      </c>
      <c r="R401" s="700" t="b">
        <f>ROUND('T2'!D96,$D$401)=ROUND('T2'!D93+'T2'!D94,$D$401)</f>
        <v>1</v>
      </c>
      <c r="S401" s="700" t="b">
        <f>ROUND('T2'!E96,$D$401)=ROUND('T2'!E93+'T2'!E94,$D$401)</f>
        <v>1</v>
      </c>
      <c r="T401" s="700" t="b">
        <f>ROUND('T2'!F96,$D$401)=ROUND('T2'!F93+'T2'!F94,$D$401)</f>
        <v>1</v>
      </c>
    </row>
    <row r="402" spans="1:20" s="690" customFormat="1" outlineLevel="1">
      <c r="A402" s="683"/>
      <c r="B402" s="684"/>
      <c r="C402" s="688" t="s">
        <v>445</v>
      </c>
      <c r="D402" s="689"/>
      <c r="E402" s="680"/>
      <c r="F402" s="680"/>
      <c r="P402" s="16"/>
      <c r="Q402" s="693">
        <f>ROUND('T2'!C96,$D$401)</f>
        <v>1849.7</v>
      </c>
      <c r="R402" s="693">
        <f>ROUND('T2'!D96,$D$401)</f>
        <v>1921.59</v>
      </c>
      <c r="S402" s="693">
        <f>ROUND('T2'!E96,$D$401)</f>
        <v>1920.94</v>
      </c>
      <c r="T402" s="693">
        <f>ROUND('T2'!F96,$D$401)</f>
        <v>1729.03</v>
      </c>
    </row>
    <row r="403" spans="1:20" s="690" customFormat="1" outlineLevel="1">
      <c r="A403" s="683"/>
      <c r="B403" s="684"/>
      <c r="C403" s="688" t="s">
        <v>446</v>
      </c>
      <c r="D403" s="689"/>
      <c r="E403" s="680"/>
      <c r="F403" s="680"/>
      <c r="P403" s="16"/>
      <c r="Q403" s="693">
        <f>ROUND('T2'!C93+'T2'!C94,$D$401)</f>
        <v>1849.7</v>
      </c>
      <c r="R403" s="693">
        <f>ROUND('T2'!D93+'T2'!D94,$D$401)</f>
        <v>1921.59</v>
      </c>
      <c r="S403" s="693">
        <f>ROUND('T2'!E93+'T2'!E94,$D$401)</f>
        <v>1920.94</v>
      </c>
      <c r="T403" s="693">
        <f>ROUND('T2'!F93+'T2'!F94,$D$401)</f>
        <v>1729.03</v>
      </c>
    </row>
    <row r="404" spans="1:20" s="38" customFormat="1" ht="18.75">
      <c r="A404" s="27" t="s">
        <v>13</v>
      </c>
      <c r="B404" s="28" t="s">
        <v>14</v>
      </c>
      <c r="C404" s="29" t="s">
        <v>447</v>
      </c>
      <c r="D404" s="681"/>
      <c r="E404" s="682"/>
      <c r="F404" s="682"/>
      <c r="G404" s="682"/>
      <c r="H404" s="682"/>
      <c r="I404" s="682"/>
      <c r="J404" s="682"/>
      <c r="K404" s="682"/>
      <c r="L404" s="682"/>
      <c r="M404" s="682"/>
      <c r="N404" s="682"/>
      <c r="O404" s="682"/>
      <c r="P404" s="16"/>
      <c r="Q404" s="682"/>
      <c r="R404" s="682"/>
      <c r="S404" s="682"/>
      <c r="T404" s="682"/>
    </row>
    <row r="405" spans="1:20" s="686" customFormat="1">
      <c r="A405" s="683" t="s">
        <v>361</v>
      </c>
      <c r="B405" s="684" t="s">
        <v>362</v>
      </c>
      <c r="C405" s="685" t="s">
        <v>550</v>
      </c>
      <c r="D405" s="675">
        <v>3</v>
      </c>
      <c r="E405" s="680"/>
      <c r="F405" s="680"/>
      <c r="P405" s="16"/>
      <c r="Q405" s="687" t="b">
        <f>ROUND('T2 ANSP'!C12,$D$405)=ROUND('T1 ANSP'!M61,$D$405)</f>
        <v>1</v>
      </c>
      <c r="R405" s="687" t="b">
        <f>ROUND('T2 ANSP'!D12,$D$405)=ROUND('T1 ANSP'!N61,$D$405)</f>
        <v>1</v>
      </c>
      <c r="S405" s="687" t="b">
        <f>ROUND('T2 ANSP'!E12,$D$405)=ROUND('T1 ANSP'!O61,$D$405)</f>
        <v>1</v>
      </c>
      <c r="T405" s="687" t="b">
        <f>ROUND('T2 ANSP'!F12,$D$405)=ROUND('T1 ANSP'!P61,$D$405)</f>
        <v>1</v>
      </c>
    </row>
    <row r="406" spans="1:20" s="690" customFormat="1" outlineLevel="1">
      <c r="A406" s="683"/>
      <c r="B406" s="684"/>
      <c r="C406" s="688" t="s">
        <v>364</v>
      </c>
      <c r="D406" s="689"/>
      <c r="E406" s="680"/>
      <c r="F406" s="680"/>
      <c r="P406" s="16"/>
      <c r="Q406" s="691">
        <f>ROUND('T2 ANSP'!C12,$D$405)</f>
        <v>803042.74100000004</v>
      </c>
      <c r="R406" s="691">
        <f>ROUND('T2 ANSP'!D12,$D$405)</f>
        <v>400117.95799999998</v>
      </c>
      <c r="S406" s="691">
        <f>ROUND('T2 ANSP'!E12,$D$405)</f>
        <v>421581.40600000002</v>
      </c>
      <c r="T406" s="691">
        <f>ROUND('T2 ANSP'!F12,$D$405)</f>
        <v>437181.06900000002</v>
      </c>
    </row>
    <row r="407" spans="1:20" s="690" customFormat="1" outlineLevel="1">
      <c r="A407" s="683"/>
      <c r="B407" s="684"/>
      <c r="C407" s="688" t="s">
        <v>365</v>
      </c>
      <c r="D407" s="689"/>
      <c r="E407" s="680"/>
      <c r="F407" s="680"/>
      <c r="P407" s="16"/>
      <c r="Q407" s="691">
        <f>ROUND('T1 ANSP'!M61,$D$405)</f>
        <v>803042.74100000004</v>
      </c>
      <c r="R407" s="691">
        <f>ROUND('T1 ANSP'!N61,$D$405)</f>
        <v>400117.95799999998</v>
      </c>
      <c r="S407" s="691">
        <f>ROUND('T1 ANSP'!O61,$D$405)</f>
        <v>421581.40600000002</v>
      </c>
      <c r="T407" s="691">
        <f>ROUND('T1 ANSP'!P61,$D$405)</f>
        <v>437181.06900000002</v>
      </c>
    </row>
    <row r="408" spans="1:20" s="686" customFormat="1">
      <c r="A408" s="683" t="s">
        <v>366</v>
      </c>
      <c r="B408" s="684" t="s">
        <v>49</v>
      </c>
      <c r="C408" s="685" t="s">
        <v>551</v>
      </c>
      <c r="D408" s="675">
        <v>3</v>
      </c>
      <c r="E408" s="680"/>
      <c r="F408" s="680"/>
      <c r="P408" s="16"/>
      <c r="Q408" s="687" t="b">
        <f>ROUND('T2 ANSP'!C15,$D$408)=ROUND('T1 ANSP'!M61-'T1 ANSP'!M15-'T1 ANSP'!M16,$D$408)</f>
        <v>1</v>
      </c>
      <c r="R408" s="687" t="b">
        <f>ROUND('T2 ANSP'!D15,$D$408)=ROUND('T1 ANSP'!N61-'T1 ANSP'!N15-'T1 ANSP'!N16,$D$408)</f>
        <v>1</v>
      </c>
      <c r="S408" s="687" t="b">
        <f>ROUND('T2 ANSP'!E15,$D$408)=ROUND('T1 ANSP'!O61-'T1 ANSP'!O15-'T1 ANSP'!O16,$D$408)</f>
        <v>1</v>
      </c>
      <c r="T408" s="687" t="b">
        <f>ROUND('T2 ANSP'!F15,$D$408)=ROUND('T1 ANSP'!P61-'T1 ANSP'!P15-'T1 ANSP'!P16,$D$408)</f>
        <v>1</v>
      </c>
    </row>
    <row r="409" spans="1:20" s="690" customFormat="1" outlineLevel="1">
      <c r="A409" s="683"/>
      <c r="B409" s="684"/>
      <c r="C409" s="688" t="s">
        <v>368</v>
      </c>
      <c r="D409" s="689"/>
      <c r="E409" s="680"/>
      <c r="F409" s="680"/>
      <c r="P409" s="16"/>
      <c r="Q409" s="691">
        <f>ROUND('T2 ANSP'!C15,$D$408)</f>
        <v>664638.31999999995</v>
      </c>
      <c r="R409" s="691">
        <f>ROUND('T2 ANSP'!D15,$D$408)</f>
        <v>333067.83399999997</v>
      </c>
      <c r="S409" s="691">
        <f>ROUND('T2 ANSP'!E15,$D$408)</f>
        <v>348259.22600000002</v>
      </c>
      <c r="T409" s="691">
        <f>ROUND('T2 ANSP'!F15,$D$408)</f>
        <v>359366.20500000002</v>
      </c>
    </row>
    <row r="410" spans="1:20" s="690" customFormat="1" outlineLevel="1">
      <c r="A410" s="683"/>
      <c r="B410" s="684"/>
      <c r="C410" s="688" t="s">
        <v>369</v>
      </c>
      <c r="D410" s="689"/>
      <c r="E410" s="680"/>
      <c r="F410" s="680"/>
      <c r="P410" s="16"/>
      <c r="Q410" s="691">
        <f>ROUND('T1 ANSP'!M61-'T1 ANSP'!M15-'T1 ANSP'!M16,$D$408)</f>
        <v>664638.31999999995</v>
      </c>
      <c r="R410" s="691">
        <f>ROUND('T1 ANSP'!N61-'T1 ANSP'!N15-'T1 ANSP'!N16,$D$408)</f>
        <v>333067.83399999997</v>
      </c>
      <c r="S410" s="691">
        <f>ROUND('T1 ANSP'!O61-'T1 ANSP'!O15-'T1 ANSP'!O16,$D$408)</f>
        <v>348259.22600000002</v>
      </c>
      <c r="T410" s="691">
        <f>ROUND('T1 ANSP'!P61-'T1 ANSP'!P15-'T1 ANSP'!P16,$D$408)</f>
        <v>359366.20500000002</v>
      </c>
    </row>
    <row r="411" spans="1:20" s="686" customFormat="1">
      <c r="A411" s="683" t="s">
        <v>370</v>
      </c>
      <c r="B411" s="684" t="s">
        <v>371</v>
      </c>
      <c r="C411" s="685" t="s">
        <v>552</v>
      </c>
      <c r="D411" s="689"/>
      <c r="E411" s="680"/>
      <c r="F411" s="680"/>
      <c r="P411" s="16"/>
      <c r="R411" s="687" t="b">
        <f>'T2 ANSP'!D16='T1 ANSP'!N65</f>
        <v>1</v>
      </c>
      <c r="S411" s="687" t="b">
        <f>'T2 ANSP'!E16='T1 ANSP'!O65</f>
        <v>1</v>
      </c>
      <c r="T411" s="687" t="b">
        <f>'T2 ANSP'!F16='T1 ANSP'!P65</f>
        <v>1</v>
      </c>
    </row>
    <row r="412" spans="1:20" s="690" customFormat="1" outlineLevel="1">
      <c r="A412" s="683"/>
      <c r="B412" s="684"/>
      <c r="C412" s="692" t="s">
        <v>373</v>
      </c>
      <c r="D412" s="689"/>
      <c r="E412" s="680"/>
      <c r="F412" s="680"/>
      <c r="P412" s="16"/>
      <c r="Q412" s="686"/>
      <c r="R412" s="693">
        <f>'T2 ANSP'!D16</f>
        <v>111.15895068431999</v>
      </c>
      <c r="S412" s="693">
        <f>'T2 ANSP'!E16</f>
        <v>113.38212969800639</v>
      </c>
      <c r="T412" s="693">
        <f>'T2 ANSP'!F16</f>
        <v>115.64977229196653</v>
      </c>
    </row>
    <row r="413" spans="1:20" s="690" customFormat="1" outlineLevel="1">
      <c r="A413" s="683"/>
      <c r="B413" s="684"/>
      <c r="C413" s="692" t="s">
        <v>374</v>
      </c>
      <c r="D413" s="689"/>
      <c r="E413" s="680"/>
      <c r="F413" s="680"/>
      <c r="P413" s="16"/>
      <c r="Q413" s="686"/>
      <c r="R413" s="693">
        <f>'T1 ANSP'!N65</f>
        <v>111.15895068431999</v>
      </c>
      <c r="S413" s="693">
        <f>'T1 ANSP'!O65</f>
        <v>113.38212969800639</v>
      </c>
      <c r="T413" s="693">
        <f>'T1 ANSP'!P65</f>
        <v>115.64977229196653</v>
      </c>
    </row>
    <row r="414" spans="1:20" s="686" customFormat="1">
      <c r="A414" s="683" t="s">
        <v>375</v>
      </c>
      <c r="B414" s="684" t="s">
        <v>376</v>
      </c>
      <c r="C414" s="685" t="s">
        <v>553</v>
      </c>
      <c r="D414" s="675">
        <v>3</v>
      </c>
      <c r="E414" s="680"/>
      <c r="F414" s="680"/>
      <c r="P414" s="16"/>
      <c r="Q414" s="687" t="b">
        <f>ROUND('T2 ANSP'!C33,$D$414)=ROUND('T1 ANSP'!M61-'T1 ANSP'!M28,$D$414)</f>
        <v>1</v>
      </c>
      <c r="R414" s="687" t="b">
        <f>ROUND('T2 ANSP'!D33,$D$414)=ROUND('T1 ANSP'!N61-'T1 ANSP'!N28,$D$414)</f>
        <v>1</v>
      </c>
      <c r="S414" s="687" t="b">
        <f>ROUND('T2 ANSP'!E33,$D$414)=ROUND('T1 ANSP'!O61-'T1 ANSP'!O28,$D$414)</f>
        <v>1</v>
      </c>
      <c r="T414" s="687" t="b">
        <f>ROUND('T2 ANSP'!F33,$D$414)=ROUND('T1 ANSP'!P61-'T1 ANSP'!P28,$D$414)</f>
        <v>1</v>
      </c>
    </row>
    <row r="415" spans="1:20" s="690" customFormat="1" outlineLevel="1">
      <c r="A415" s="683"/>
      <c r="B415" s="684"/>
      <c r="C415" s="688" t="s">
        <v>378</v>
      </c>
      <c r="D415" s="689"/>
      <c r="E415" s="680"/>
      <c r="F415" s="680"/>
      <c r="P415" s="16"/>
      <c r="Q415" s="691">
        <f>ROUND('T2 ANSP'!C33,$D$414)</f>
        <v>803042.74100000004</v>
      </c>
      <c r="R415" s="691">
        <f>ROUND('T2 ANSP'!D33,$D$414)</f>
        <v>400117.95799999998</v>
      </c>
      <c r="S415" s="691">
        <f>ROUND('T2 ANSP'!E33,$D$414)</f>
        <v>421581.40600000002</v>
      </c>
      <c r="T415" s="691">
        <f>ROUND('T2 ANSP'!F33,$D$414)</f>
        <v>437181.06900000002</v>
      </c>
    </row>
    <row r="416" spans="1:20" s="690" customFormat="1" outlineLevel="1">
      <c r="A416" s="683"/>
      <c r="B416" s="684"/>
      <c r="C416" s="688" t="s">
        <v>379</v>
      </c>
      <c r="D416" s="689"/>
      <c r="E416" s="680"/>
      <c r="F416" s="680"/>
      <c r="P416" s="16"/>
      <c r="Q416" s="691">
        <f>ROUND('T1 ANSP'!M61-'T1 ANSP'!M28,$D$414)</f>
        <v>803042.74100000004</v>
      </c>
      <c r="R416" s="691">
        <f>ROUND('T1 ANSP'!N61-'T1 ANSP'!N28,$D$414)</f>
        <v>400117.95799999998</v>
      </c>
      <c r="S416" s="691">
        <f>ROUND('T1 ANSP'!O61-'T1 ANSP'!O28,$D$414)</f>
        <v>421581.40600000002</v>
      </c>
      <c r="T416" s="691">
        <f>ROUND('T1 ANSP'!P61-'T1 ANSP'!P28,$D$414)</f>
        <v>437181.06900000002</v>
      </c>
    </row>
    <row r="417" spans="1:20" s="686" customFormat="1">
      <c r="A417" s="701" t="s">
        <v>448</v>
      </c>
      <c r="B417" s="684" t="s">
        <v>16</v>
      </c>
      <c r="C417" s="685" t="s">
        <v>449</v>
      </c>
      <c r="D417" s="675">
        <v>2</v>
      </c>
      <c r="E417" s="680"/>
      <c r="F417" s="680"/>
      <c r="K417" s="690"/>
      <c r="L417" s="690"/>
      <c r="P417" s="16"/>
      <c r="Q417" s="687" t="b">
        <f>ROUND('T2 ANSP'!C34,$D$417)=2%</f>
        <v>1</v>
      </c>
      <c r="R417" s="687" t="b">
        <f>ROUND('T2 ANSP'!D34,$D$417)=2%</f>
        <v>1</v>
      </c>
      <c r="S417" s="687" t="b">
        <f>ROUND('T2 ANSP'!E34,$D$417)=2%</f>
        <v>1</v>
      </c>
      <c r="T417" s="687" t="b">
        <f>ROUND('T2 ANSP'!F34,$D$417)=2%</f>
        <v>1</v>
      </c>
    </row>
    <row r="418" spans="1:20" s="690" customFormat="1" outlineLevel="1">
      <c r="A418" s="701"/>
      <c r="B418" s="684"/>
      <c r="C418" s="692" t="s">
        <v>450</v>
      </c>
      <c r="D418" s="689"/>
      <c r="E418" s="680"/>
      <c r="F418" s="680"/>
      <c r="P418" s="16"/>
      <c r="Q418" s="702">
        <f>ROUND('T2 ANSP'!C34,$D$417)</f>
        <v>0.02</v>
      </c>
      <c r="R418" s="702">
        <f>ROUND('T2 ANSP'!D34,$D$417)</f>
        <v>0.02</v>
      </c>
      <c r="S418" s="702">
        <f>ROUND('T2 ANSP'!E34,$D$417)</f>
        <v>0.02</v>
      </c>
      <c r="T418" s="702">
        <f>ROUND('T2 ANSP'!F34,$D$417)</f>
        <v>0.02</v>
      </c>
    </row>
    <row r="419" spans="1:20" s="686" customFormat="1">
      <c r="A419" s="701" t="s">
        <v>451</v>
      </c>
      <c r="B419" s="684" t="s">
        <v>452</v>
      </c>
      <c r="C419" s="685" t="s">
        <v>453</v>
      </c>
      <c r="D419" s="675">
        <v>2</v>
      </c>
      <c r="E419" s="680"/>
      <c r="F419" s="680"/>
      <c r="K419" s="690"/>
      <c r="L419" s="690"/>
      <c r="P419" s="16"/>
      <c r="Q419" s="687" t="b">
        <f>ROUND('T2 ANSP'!C35,$D$419)=70%</f>
        <v>1</v>
      </c>
      <c r="R419" s="687" t="b">
        <f>ROUND('T2 ANSP'!D35,$D$419)=70%</f>
        <v>1</v>
      </c>
      <c r="S419" s="687" t="b">
        <f>ROUND('T2 ANSP'!E35,$D$419)=70%</f>
        <v>1</v>
      </c>
      <c r="T419" s="687" t="b">
        <f>ROUND('T2 ANSP'!F35,$D$419)=70%</f>
        <v>1</v>
      </c>
    </row>
    <row r="420" spans="1:20" s="690" customFormat="1" outlineLevel="1">
      <c r="A420" s="701"/>
      <c r="B420" s="684"/>
      <c r="C420" s="692" t="s">
        <v>454</v>
      </c>
      <c r="D420" s="689"/>
      <c r="E420" s="680"/>
      <c r="F420" s="680"/>
      <c r="P420" s="16"/>
      <c r="Q420" s="702">
        <f>ROUND('T2 ANSP'!C35,$D$419)</f>
        <v>0.7</v>
      </c>
      <c r="R420" s="702">
        <f>ROUND('T2 ANSP'!D35,$D$419)</f>
        <v>0.7</v>
      </c>
      <c r="S420" s="702">
        <f>ROUND('T2 ANSP'!E35,$D$419)</f>
        <v>0.7</v>
      </c>
      <c r="T420" s="702">
        <f>ROUND('T2 ANSP'!F35,$D$419)</f>
        <v>0.7</v>
      </c>
    </row>
    <row r="421" spans="1:20" s="686" customFormat="1">
      <c r="A421" s="701" t="s">
        <v>455</v>
      </c>
      <c r="B421" s="684" t="s">
        <v>456</v>
      </c>
      <c r="C421" s="685" t="s">
        <v>457</v>
      </c>
      <c r="D421" s="675">
        <v>2</v>
      </c>
      <c r="E421" s="680"/>
      <c r="F421" s="680"/>
      <c r="K421" s="690"/>
      <c r="L421" s="690"/>
      <c r="P421" s="16"/>
      <c r="Q421" s="687" t="b">
        <f>ROUND('T2 ANSP'!C36,$D$421)=70%</f>
        <v>1</v>
      </c>
      <c r="R421" s="687" t="b">
        <f>ROUND('T2 ANSP'!D36,$D$421)=70%</f>
        <v>1</v>
      </c>
      <c r="S421" s="687" t="b">
        <f>ROUND('T2 ANSP'!E36,$D$421)=70%</f>
        <v>1</v>
      </c>
      <c r="T421" s="687" t="b">
        <f>ROUND('T2 ANSP'!F36,$D$421)=70%</f>
        <v>1</v>
      </c>
    </row>
    <row r="422" spans="1:20" s="690" customFormat="1" outlineLevel="1">
      <c r="A422" s="701"/>
      <c r="B422" s="684"/>
      <c r="C422" s="692" t="s">
        <v>458</v>
      </c>
      <c r="D422" s="689"/>
      <c r="E422" s="680"/>
      <c r="F422" s="680"/>
      <c r="P422" s="16"/>
      <c r="Q422" s="702">
        <f>ROUND('T2 ANSP'!C36,$D$421)</f>
        <v>0.7</v>
      </c>
      <c r="R422" s="702">
        <f>ROUND('T2 ANSP'!D36,$D$421)</f>
        <v>0.7</v>
      </c>
      <c r="S422" s="702">
        <f>ROUND('T2 ANSP'!E36,$D$421)</f>
        <v>0.7</v>
      </c>
      <c r="T422" s="702">
        <f>ROUND('T2 ANSP'!F36,$D$421)</f>
        <v>0.7</v>
      </c>
    </row>
    <row r="423" spans="1:20" s="686" customFormat="1">
      <c r="A423" s="701" t="s">
        <v>459</v>
      </c>
      <c r="B423" s="684" t="s">
        <v>460</v>
      </c>
      <c r="C423" s="685" t="s">
        <v>461</v>
      </c>
      <c r="D423" s="675">
        <v>2</v>
      </c>
      <c r="E423" s="680"/>
      <c r="F423" s="680"/>
      <c r="K423" s="690"/>
      <c r="L423" s="690"/>
      <c r="P423" s="16"/>
      <c r="Q423" s="687" t="b">
        <f>ROUND('T2 ANSP'!C37,$D$423)=10%</f>
        <v>1</v>
      </c>
      <c r="R423" s="687" t="b">
        <f>ROUND('T2 ANSP'!D37,$D$423)=10%</f>
        <v>1</v>
      </c>
      <c r="S423" s="687" t="b">
        <f>ROUND('T2 ANSP'!E37,$D$423)=10%</f>
        <v>1</v>
      </c>
      <c r="T423" s="687" t="b">
        <f>ROUND('T2 ANSP'!F37,$D$423)=10%</f>
        <v>1</v>
      </c>
    </row>
    <row r="424" spans="1:20" s="690" customFormat="1" outlineLevel="1">
      <c r="A424" s="701"/>
      <c r="B424" s="684"/>
      <c r="C424" s="692" t="s">
        <v>450</v>
      </c>
      <c r="D424" s="689"/>
      <c r="E424" s="680"/>
      <c r="F424" s="680"/>
      <c r="P424" s="16"/>
      <c r="Q424" s="702">
        <f>ROUND('T2 ANSP'!C37,$D$423)</f>
        <v>0.1</v>
      </c>
      <c r="R424" s="702">
        <f>ROUND('T2 ANSP'!D37,$D$423)</f>
        <v>0.1</v>
      </c>
      <c r="S424" s="702">
        <f>ROUND('T2 ANSP'!E37,$D$423)</f>
        <v>0.1</v>
      </c>
      <c r="T424" s="702">
        <f>ROUND('T2 ANSP'!F37,$D$423)</f>
        <v>0.1</v>
      </c>
    </row>
    <row r="425" spans="1:20" s="686" customFormat="1">
      <c r="A425" s="683" t="s">
        <v>380</v>
      </c>
      <c r="B425" s="684" t="s">
        <v>381</v>
      </c>
      <c r="C425" s="685" t="s">
        <v>554</v>
      </c>
      <c r="D425" s="675">
        <v>3</v>
      </c>
      <c r="E425" s="680"/>
      <c r="F425" s="680"/>
      <c r="K425" s="690"/>
      <c r="L425" s="690"/>
      <c r="P425" s="16"/>
      <c r="Q425" s="687" t="b">
        <f>ROUND('T2 ANSP'!C38,$D$425)=ROUND('T1 ANSP'!M68,$D$425)</f>
        <v>1</v>
      </c>
      <c r="R425" s="687" t="b">
        <f>ROUND('T2 ANSP'!D38,$D$425)=ROUND('T1 ANSP'!N68,$D$425)</f>
        <v>1</v>
      </c>
      <c r="S425" s="687" t="b">
        <f>ROUND('T2 ANSP'!E38,$D$425)=ROUND('T1 ANSP'!O68,$D$425)</f>
        <v>1</v>
      </c>
      <c r="T425" s="687" t="b">
        <f>ROUND('T2 ANSP'!F38,$D$425)=ROUND('T1 ANSP'!P68,$D$425)</f>
        <v>1</v>
      </c>
    </row>
    <row r="426" spans="1:20" s="690" customFormat="1" outlineLevel="1">
      <c r="A426" s="683"/>
      <c r="B426" s="684"/>
      <c r="C426" s="688" t="s">
        <v>383</v>
      </c>
      <c r="D426" s="689"/>
      <c r="E426" s="680"/>
      <c r="F426" s="680"/>
      <c r="P426" s="16"/>
      <c r="Q426" s="691">
        <f>ROUND('T2 ANSP'!C38,$D$425)</f>
        <v>273.57</v>
      </c>
      <c r="R426" s="691">
        <f>ROUND('T2 ANSP'!D38,$D$425)</f>
        <v>204.803</v>
      </c>
      <c r="S426" s="691">
        <f>ROUND('T2 ANSP'!E38,$D$425)</f>
        <v>240.423</v>
      </c>
      <c r="T426" s="691">
        <f>ROUND('T2 ANSP'!F38,$D$425)</f>
        <v>258.33800000000002</v>
      </c>
    </row>
    <row r="427" spans="1:20" s="690" customFormat="1" outlineLevel="1">
      <c r="A427" s="683"/>
      <c r="B427" s="684"/>
      <c r="C427" s="688" t="s">
        <v>384</v>
      </c>
      <c r="D427" s="689"/>
      <c r="E427" s="680"/>
      <c r="F427" s="680"/>
      <c r="P427" s="16"/>
      <c r="Q427" s="691">
        <f>ROUND('T1 ANSP'!M68,$D$425)</f>
        <v>273.57</v>
      </c>
      <c r="R427" s="691">
        <f>ROUND('T1 ANSP'!N68,$D$425)</f>
        <v>204.803</v>
      </c>
      <c r="S427" s="691">
        <f>ROUND('T1 ANSP'!O68,$D$425)</f>
        <v>240.423</v>
      </c>
      <c r="T427" s="691">
        <f>ROUND('T1 ANSP'!P68,$D$425)</f>
        <v>258.33800000000002</v>
      </c>
    </row>
    <row r="428" spans="1:20" s="690" customFormat="1" outlineLevel="1">
      <c r="A428" s="683" t="s">
        <v>385</v>
      </c>
      <c r="B428" s="684" t="s">
        <v>386</v>
      </c>
      <c r="C428" s="685" t="s">
        <v>387</v>
      </c>
      <c r="D428" s="689"/>
      <c r="E428" s="680"/>
      <c r="F428" s="680"/>
      <c r="P428" s="16"/>
      <c r="Q428" s="687" t="b">
        <f>'T2 ANSP'!C73=SUM('T2 ANSP'!C69:C72)</f>
        <v>1</v>
      </c>
      <c r="R428" s="687" t="b">
        <f>'T2 ANSP'!D73=SUM('T2 ANSP'!D69:D72)</f>
        <v>1</v>
      </c>
      <c r="S428" s="687" t="b">
        <f>'T2 ANSP'!E73=SUM('T2 ANSP'!E69:E72)</f>
        <v>1</v>
      </c>
      <c r="T428" s="687" t="b">
        <f>'T2 ANSP'!F73=SUM('T2 ANSP'!F69:F72)</f>
        <v>1</v>
      </c>
    </row>
    <row r="429" spans="1:20" s="690" customFormat="1" outlineLevel="1">
      <c r="A429" s="683"/>
      <c r="B429" s="684"/>
      <c r="C429" s="692" t="s">
        <v>388</v>
      </c>
      <c r="D429" s="689"/>
      <c r="E429" s="680"/>
      <c r="F429" s="680"/>
      <c r="P429" s="16"/>
      <c r="Q429" s="691">
        <f>'T2 ANSP'!C73</f>
        <v>0</v>
      </c>
      <c r="R429" s="691">
        <f>'T2 ANSP'!D73</f>
        <v>0</v>
      </c>
      <c r="S429" s="691">
        <f>'T2 ANSP'!E73</f>
        <v>0</v>
      </c>
      <c r="T429" s="691">
        <f>'T2 ANSP'!F73</f>
        <v>0</v>
      </c>
    </row>
    <row r="430" spans="1:20" s="690" customFormat="1" outlineLevel="1">
      <c r="A430" s="683"/>
      <c r="B430" s="684"/>
      <c r="C430" s="677" t="s">
        <v>389</v>
      </c>
      <c r="D430" s="689"/>
      <c r="E430" s="680"/>
      <c r="F430" s="680"/>
      <c r="P430" s="16"/>
      <c r="Q430" s="691">
        <f>SUM('T2 ANSP'!C69:C72)</f>
        <v>0</v>
      </c>
      <c r="R430" s="691">
        <f>SUM('T2 ANSP'!D69:D72)</f>
        <v>0</v>
      </c>
      <c r="S430" s="691">
        <f>SUM('T2 ANSP'!E69:E72)</f>
        <v>0</v>
      </c>
      <c r="T430" s="691">
        <f>SUM('T2 ANSP'!F69:F72)</f>
        <v>0</v>
      </c>
    </row>
    <row r="431" spans="1:20" s="686" customFormat="1">
      <c r="A431" s="683" t="s">
        <v>366</v>
      </c>
      <c r="B431" s="684" t="s">
        <v>390</v>
      </c>
      <c r="C431" s="685" t="s">
        <v>391</v>
      </c>
      <c r="D431" s="675">
        <v>3</v>
      </c>
      <c r="E431" s="680"/>
      <c r="F431" s="680"/>
      <c r="P431" s="16"/>
      <c r="Q431" s="687" t="b">
        <f>ROUND('T2 ANSP'!C81,$D$431)=ROUND('T2 ANSP'!C12,$D$431)</f>
        <v>1</v>
      </c>
      <c r="R431" s="687" t="b">
        <f>ROUND('T2 ANSP'!D81,$D$431)=ROUND('T2 ANSP'!D12,$D$431)</f>
        <v>1</v>
      </c>
      <c r="S431" s="687" t="b">
        <f>ROUND('T2 ANSP'!E81,$D$431)=ROUND('T2 ANSP'!E12,$D$431)</f>
        <v>1</v>
      </c>
      <c r="T431" s="687" t="b">
        <f>ROUND('T2 ANSP'!F81,$D$431)=ROUND('T2 ANSP'!F12,$D$431)</f>
        <v>1</v>
      </c>
    </row>
    <row r="432" spans="1:20" s="690" customFormat="1" outlineLevel="1">
      <c r="A432" s="683"/>
      <c r="B432" s="684"/>
      <c r="C432" s="688" t="s">
        <v>392</v>
      </c>
      <c r="D432" s="689"/>
      <c r="E432" s="680"/>
      <c r="F432" s="680"/>
      <c r="P432" s="16"/>
      <c r="Q432" s="691">
        <f>ROUND('T2 ANSP'!C81,$D$431)</f>
        <v>803042.74100000004</v>
      </c>
      <c r="R432" s="691">
        <f>ROUND('T2 ANSP'!D81,$D$431)</f>
        <v>400117.95799999998</v>
      </c>
      <c r="S432" s="691">
        <f>ROUND('T2 ANSP'!E81,$D$431)</f>
        <v>421581.40600000002</v>
      </c>
      <c r="T432" s="691">
        <f>ROUND('T2 ANSP'!F81,$D$431)</f>
        <v>437181.06900000002</v>
      </c>
    </row>
    <row r="433" spans="1:25" s="690" customFormat="1" outlineLevel="1">
      <c r="A433" s="683"/>
      <c r="B433" s="684"/>
      <c r="C433" s="688" t="s">
        <v>393</v>
      </c>
      <c r="D433" s="689"/>
      <c r="E433" s="680"/>
      <c r="F433" s="680"/>
      <c r="P433" s="16"/>
      <c r="Q433" s="691">
        <f>ROUND('T2 ANSP'!C12,$D$431)</f>
        <v>803042.74100000004</v>
      </c>
      <c r="R433" s="691">
        <f>ROUND('T2 ANSP'!D12,$D$431)</f>
        <v>400117.95799999998</v>
      </c>
      <c r="S433" s="691">
        <f>ROUND('T2 ANSP'!E12,$D$431)</f>
        <v>421581.40600000002</v>
      </c>
      <c r="T433" s="691">
        <f>ROUND('T2 ANSP'!F12,$D$431)</f>
        <v>437181.06900000002</v>
      </c>
    </row>
    <row r="434" spans="1:25">
      <c r="A434" s="683" t="s">
        <v>394</v>
      </c>
      <c r="B434" s="684" t="s">
        <v>395</v>
      </c>
      <c r="C434" s="694" t="s">
        <v>396</v>
      </c>
      <c r="D434" s="675">
        <v>3</v>
      </c>
      <c r="E434" s="680"/>
      <c r="F434" s="680"/>
      <c r="G434" s="16"/>
      <c r="H434" s="16"/>
      <c r="I434" s="16"/>
      <c r="Q434" s="687" t="b">
        <f>ROUND('T2 ANSP'!C82,$D$434)=ROUND('T3 ANSP'!E17+'T3 ANSP'!F17,$D$434)</f>
        <v>1</v>
      </c>
      <c r="R434" s="687" t="b">
        <f>ROUND('T2 ANSP'!D82,$D$434)=ROUND('T3 ANSP'!G17,$D$434)</f>
        <v>1</v>
      </c>
      <c r="S434" s="687" t="b">
        <f>ROUND('T2 ANSP'!E82,$D$434)=ROUND('T3 ANSP'!H17,$D$434)</f>
        <v>1</v>
      </c>
      <c r="T434" s="687" t="b">
        <f>ROUND('T2 ANSP'!F82,$D$434)=ROUND('T3 ANSP'!I17,$D$434)</f>
        <v>1</v>
      </c>
      <c r="Y434" s="695"/>
    </row>
    <row r="435" spans="1:25" outlineLevel="1">
      <c r="A435" s="696"/>
      <c r="B435" s="684"/>
      <c r="C435" s="697" t="s">
        <v>397</v>
      </c>
      <c r="D435" s="698"/>
      <c r="E435" s="680"/>
      <c r="F435" s="680"/>
      <c r="G435" s="16"/>
      <c r="H435" s="16"/>
      <c r="I435" s="16"/>
      <c r="Q435" s="691">
        <f>ROUND('T2 ANSP'!C82,$D$434)</f>
        <v>23608.233</v>
      </c>
      <c r="R435" s="691">
        <f>ROUND('T2 ANSP'!D82,$D$434)</f>
        <v>0</v>
      </c>
      <c r="S435" s="691">
        <f>ROUND('T2 ANSP'!E82,$D$434)</f>
        <v>0</v>
      </c>
      <c r="T435" s="691">
        <f>ROUND('T2 ANSP'!F82,$D$434)</f>
        <v>0</v>
      </c>
      <c r="Y435" s="695"/>
    </row>
    <row r="436" spans="1:25" outlineLevel="1">
      <c r="A436" s="696"/>
      <c r="B436" s="684"/>
      <c r="C436" s="697" t="s">
        <v>540</v>
      </c>
      <c r="D436" s="698"/>
      <c r="E436" s="680"/>
      <c r="F436" s="680"/>
      <c r="G436" s="16"/>
      <c r="H436" s="16"/>
      <c r="I436" s="16"/>
      <c r="Q436" s="691">
        <f>ROUND('T3 ANSP'!E17+'T3 ANSP'!F17,$D$434)</f>
        <v>23608.233</v>
      </c>
      <c r="R436" s="691">
        <f>ROUND('T3 ANSP'!G17,$D$434)</f>
        <v>0</v>
      </c>
      <c r="S436" s="691">
        <f>ROUND('T3 ANSP'!H17,$D$434)</f>
        <v>0</v>
      </c>
      <c r="T436" s="691">
        <f>ROUND('T3 ANSP'!I17,$D$434)</f>
        <v>0</v>
      </c>
      <c r="Y436" s="695"/>
    </row>
    <row r="437" spans="1:25">
      <c r="A437" s="696" t="s">
        <v>399</v>
      </c>
      <c r="B437" s="684" t="s">
        <v>400</v>
      </c>
      <c r="C437" s="694" t="s">
        <v>401</v>
      </c>
      <c r="D437" s="675">
        <v>3</v>
      </c>
      <c r="E437" s="680"/>
      <c r="F437" s="680"/>
      <c r="G437" s="16"/>
      <c r="H437" s="16"/>
      <c r="I437" s="16"/>
      <c r="Q437" s="687" t="b">
        <f>ROUND('T2 ANSP'!C83,$D$437)=ROUND('T3 ANSP'!E28+'T3 ANSP'!F28,$D$437)</f>
        <v>1</v>
      </c>
      <c r="R437" s="687" t="b">
        <f>ROUND('T2 ANSP'!D83,$D$437)=ROUND('T3 ANSP'!G28,$D$437)</f>
        <v>1</v>
      </c>
      <c r="S437" s="687" t="b">
        <f>ROUND('T2 ANSP'!E83,$D$437)=ROUND('T3 ANSP'!H28,$D$437)</f>
        <v>1</v>
      </c>
      <c r="T437" s="687" t="b">
        <f>ROUND('T2 ANSP'!F83,$D$437)=ROUND('T3 ANSP'!I28,$D$437)</f>
        <v>1</v>
      </c>
      <c r="Y437" s="695"/>
    </row>
    <row r="438" spans="1:25" outlineLevel="1">
      <c r="A438" s="696"/>
      <c r="B438" s="684"/>
      <c r="C438" s="697" t="s">
        <v>397</v>
      </c>
      <c r="D438" s="698"/>
      <c r="E438" s="680"/>
      <c r="F438" s="680"/>
      <c r="G438" s="16"/>
      <c r="H438" s="16"/>
      <c r="I438" s="16"/>
      <c r="Q438" s="691">
        <f>ROUND('T2 ANSP'!C83,$D$437)</f>
        <v>66819.638000000006</v>
      </c>
      <c r="R438" s="691">
        <f>ROUND('T2 ANSP'!D83,$D$437)</f>
        <v>0</v>
      </c>
      <c r="S438" s="691">
        <f>ROUND('T2 ANSP'!E83,$D$437)</f>
        <v>0</v>
      </c>
      <c r="T438" s="691">
        <f>ROUND('T2 ANSP'!F83,$D$437)</f>
        <v>0</v>
      </c>
      <c r="Y438" s="695"/>
    </row>
    <row r="439" spans="1:25" outlineLevel="1">
      <c r="A439" s="696"/>
      <c r="B439" s="684"/>
      <c r="C439" s="697" t="s">
        <v>540</v>
      </c>
      <c r="D439" s="698"/>
      <c r="E439" s="680"/>
      <c r="F439" s="680"/>
      <c r="G439" s="16"/>
      <c r="H439" s="16"/>
      <c r="I439" s="16"/>
      <c r="Q439" s="691">
        <f>ROUND('T3 ANSP'!E28+'T3 ANSP'!F28,$D$437)</f>
        <v>66819.638000000006</v>
      </c>
      <c r="R439" s="691">
        <f>ROUND('T3 ANSP'!G28,$D$437)</f>
        <v>0</v>
      </c>
      <c r="S439" s="691">
        <f>ROUND('T3 ANSP'!H28,$D$437)</f>
        <v>0</v>
      </c>
      <c r="T439" s="691">
        <f>ROUND('T3 ANSP'!I28,$D$437)</f>
        <v>0</v>
      </c>
      <c r="Y439" s="695"/>
    </row>
    <row r="440" spans="1:25">
      <c r="A440" s="696" t="s">
        <v>402</v>
      </c>
      <c r="B440" s="684" t="s">
        <v>403</v>
      </c>
      <c r="C440" s="694" t="s">
        <v>404</v>
      </c>
      <c r="D440" s="675">
        <v>3</v>
      </c>
      <c r="E440" s="680"/>
      <c r="F440" s="680"/>
      <c r="G440" s="16"/>
      <c r="H440" s="16"/>
      <c r="I440" s="16"/>
      <c r="Q440" s="687" t="b">
        <f>ROUND('T2 ANSP'!C84,$D$440)=ROUND('T3 ANSP'!E35+'T3 ANSP'!E42+'T3 ANSP'!E49+'T3 ANSP'!E56+'T3 ANSP'!E63+'T3 ANSP'!E70+'T3 ANSP'!E75+'T3 ANSP'!F35+'T3 ANSP'!F42+'T3 ANSP'!F49+'T3 ANSP'!F56+'T3 ANSP'!F63+'T3 ANSP'!F70+'T3 ANSP'!F75,$D$440)</f>
        <v>1</v>
      </c>
      <c r="R440" s="687" t="b">
        <f>ROUND('T2 ANSP'!D84,$D$440)=ROUND('T3 ANSP'!G35+'T3 ANSP'!G42+'T3 ANSP'!G49+'T3 ANSP'!G56+'T3 ANSP'!G63+'T3 ANSP'!G70+'T3 ANSP'!G75,$D$440)</f>
        <v>1</v>
      </c>
      <c r="S440" s="687" t="b">
        <f>ROUND('T2 ANSP'!E84,$D$440)=ROUND('T3 ANSP'!H35+'T3 ANSP'!H42+'T3 ANSP'!H49+'T3 ANSP'!H56+'T3 ANSP'!H63+'T3 ANSP'!H70+'T3 ANSP'!H75,$D$440)</f>
        <v>1</v>
      </c>
      <c r="T440" s="687" t="b">
        <f>ROUND('T2 ANSP'!F84,$D$440)=ROUND('T3 ANSP'!I35+'T3 ANSP'!I42+'T3 ANSP'!I49+'T3 ANSP'!I56+'T3 ANSP'!I63+'T3 ANSP'!I70+'T3 ANSP'!I75,$D$440)</f>
        <v>1</v>
      </c>
      <c r="Y440" s="695"/>
    </row>
    <row r="441" spans="1:25" outlineLevel="1">
      <c r="A441" s="696"/>
      <c r="B441" s="684"/>
      <c r="C441" s="697" t="s">
        <v>397</v>
      </c>
      <c r="D441" s="698"/>
      <c r="E441" s="680"/>
      <c r="F441" s="680"/>
      <c r="G441" s="16"/>
      <c r="H441" s="16"/>
      <c r="I441" s="16"/>
      <c r="Q441" s="691">
        <f>ROUND('T2 ANSP'!C84,$D$440)</f>
        <v>0</v>
      </c>
      <c r="R441" s="691">
        <f>ROUND('T2 ANSP'!D84,$D$440)</f>
        <v>0</v>
      </c>
      <c r="S441" s="691">
        <f>ROUND('T2 ANSP'!E84,$D$440)</f>
        <v>0</v>
      </c>
      <c r="T441" s="691">
        <f>ROUND('T2 ANSP'!F84,$D$440)</f>
        <v>0</v>
      </c>
      <c r="Y441" s="695"/>
    </row>
    <row r="442" spans="1:25" outlineLevel="1">
      <c r="A442" s="696"/>
      <c r="B442" s="684"/>
      <c r="C442" s="697" t="s">
        <v>540</v>
      </c>
      <c r="D442" s="698"/>
      <c r="E442" s="680"/>
      <c r="F442" s="680"/>
      <c r="G442" s="16"/>
      <c r="H442" s="16"/>
      <c r="I442" s="16"/>
      <c r="Q442" s="691">
        <f>ROUND('T3 ANSP'!E35+'T3 ANSP'!E42+'T3 ANSP'!E49+'T3 ANSP'!E56+'T3 ANSP'!E63+'T3 ANSP'!E70+'T3 ANSP'!E75+'T3 ANSP'!F35+'T3 ANSP'!F42+'T3 ANSP'!F49+'T3 ANSP'!F56+'T3 ANSP'!F63+'T3 ANSP'!F70+'T3 ANSP'!F75,$D$440)</f>
        <v>0</v>
      </c>
      <c r="R442" s="691">
        <f>ROUND('T3 ANSP'!G35+'T3 ANSP'!G42+'T3 ANSP'!G49+'T3 ANSP'!G56+'T3 ANSP'!G63+'T3 ANSP'!G70+'T3 ANSP'!G75,$D$440)</f>
        <v>0</v>
      </c>
      <c r="S442" s="691">
        <f>ROUND('T3 ANSP'!H35+'T3 ANSP'!H42+'T3 ANSP'!H49+'T3 ANSP'!H56+'T3 ANSP'!H63+'T3 ANSP'!H70+'T3 ANSP'!H75,$D$440)</f>
        <v>0</v>
      </c>
      <c r="T442" s="691">
        <f>ROUND('T3 ANSP'!I35+'T3 ANSP'!I42+'T3 ANSP'!I49+'T3 ANSP'!I56+'T3 ANSP'!I63+'T3 ANSP'!I70+'T3 ANSP'!I75,$D$440)</f>
        <v>0</v>
      </c>
      <c r="Y442" s="695"/>
    </row>
    <row r="443" spans="1:25">
      <c r="A443" s="696" t="s">
        <v>405</v>
      </c>
      <c r="B443" s="684" t="s">
        <v>406</v>
      </c>
      <c r="C443" s="694" t="s">
        <v>407</v>
      </c>
      <c r="D443" s="675">
        <v>3</v>
      </c>
      <c r="E443" s="680"/>
      <c r="F443" s="680"/>
      <c r="G443" s="16"/>
      <c r="H443" s="16"/>
      <c r="I443" s="16"/>
      <c r="Q443" s="687" t="b">
        <f>ROUND('T2 ANSP'!C85,$D$443)=ROUND('T3 ANSP'!E86+'T3 ANSP'!F86,$D$443)</f>
        <v>1</v>
      </c>
      <c r="R443" s="687" t="b">
        <f>ROUND('T2 ANSP'!D85,$D$443)=ROUND('T3 ANSP'!G86,$D$443)</f>
        <v>1</v>
      </c>
      <c r="S443" s="687" t="b">
        <f>ROUND('T2 ANSP'!E85,$D$443)=ROUND('T3 ANSP'!H86,$D$443)</f>
        <v>1</v>
      </c>
      <c r="T443" s="687" t="b">
        <f>ROUND('T2 ANSP'!F85,$D$443)=ROUND('T3 ANSP'!I86,$D$443)</f>
        <v>1</v>
      </c>
      <c r="Y443" s="695"/>
    </row>
    <row r="444" spans="1:25" outlineLevel="1">
      <c r="A444" s="696"/>
      <c r="B444" s="684"/>
      <c r="C444" s="697" t="s">
        <v>397</v>
      </c>
      <c r="D444" s="698"/>
      <c r="E444" s="680"/>
      <c r="F444" s="680"/>
      <c r="G444" s="16"/>
      <c r="H444" s="16"/>
      <c r="I444" s="16"/>
      <c r="Q444" s="691">
        <f>ROUND('T2 ANSP'!C85,$D$443)</f>
        <v>9496.2780000000002</v>
      </c>
      <c r="R444" s="691">
        <f>ROUND('T2 ANSP'!D85,$D$443)</f>
        <v>0</v>
      </c>
      <c r="S444" s="691">
        <f>ROUND('T2 ANSP'!E85,$D$443)</f>
        <v>0</v>
      </c>
      <c r="T444" s="691">
        <f>ROUND('T2 ANSP'!F85,$D$443)</f>
        <v>0</v>
      </c>
      <c r="Y444" s="695"/>
    </row>
    <row r="445" spans="1:25" outlineLevel="1">
      <c r="A445" s="696"/>
      <c r="B445" s="684"/>
      <c r="C445" s="697" t="s">
        <v>540</v>
      </c>
      <c r="D445" s="698"/>
      <c r="E445" s="680"/>
      <c r="F445" s="680"/>
      <c r="G445" s="16"/>
      <c r="H445" s="16"/>
      <c r="I445" s="16"/>
      <c r="Q445" s="691">
        <f>ROUND('T3 ANSP'!E86+'T3 ANSP'!F86,$D$443)</f>
        <v>9496.2780000000002</v>
      </c>
      <c r="R445" s="691">
        <f>ROUND('T3 ANSP'!G86,$D$443)</f>
        <v>0</v>
      </c>
      <c r="S445" s="691">
        <f>ROUND('T3 ANSP'!H86,$D$443)</f>
        <v>0</v>
      </c>
      <c r="T445" s="691">
        <f>ROUND('T3 ANSP'!I86,$D$443)</f>
        <v>0</v>
      </c>
      <c r="Y445" s="695"/>
    </row>
    <row r="446" spans="1:25">
      <c r="A446" s="696" t="s">
        <v>408</v>
      </c>
      <c r="B446" s="684" t="s">
        <v>409</v>
      </c>
      <c r="C446" s="694" t="s">
        <v>410</v>
      </c>
      <c r="D446" s="675">
        <v>3</v>
      </c>
      <c r="E446" s="680"/>
      <c r="F446" s="680"/>
      <c r="G446" s="16"/>
      <c r="H446" s="16"/>
      <c r="I446" s="16"/>
      <c r="Q446" s="687" t="b">
        <f>ROUND('T2 ANSP'!C86,$D$446)=ROUND('T3 ANSP'!E97+'T3 ANSP'!F97,$D$446)</f>
        <v>1</v>
      </c>
      <c r="R446" s="687" t="b">
        <f>ROUND('T2 ANSP'!D86,$D$446)=ROUND('T3 ANSP'!G97,$D$446)</f>
        <v>1</v>
      </c>
      <c r="S446" s="687" t="b">
        <f>ROUND('T2 ANSP'!E86,$D$446)=ROUND('T3 ANSP'!H97,$D$446)</f>
        <v>1</v>
      </c>
      <c r="T446" s="687" t="b">
        <f>ROUND('T2 ANSP'!F86,$D$446)=ROUND('T3 ANSP'!I97,$D$446)</f>
        <v>1</v>
      </c>
      <c r="Y446" s="695"/>
    </row>
    <row r="447" spans="1:25" outlineLevel="1">
      <c r="A447" s="696"/>
      <c r="B447" s="684"/>
      <c r="C447" s="697" t="s">
        <v>397</v>
      </c>
      <c r="D447" s="698"/>
      <c r="E447" s="680"/>
      <c r="F447" s="680"/>
      <c r="G447" s="16"/>
      <c r="H447" s="16"/>
      <c r="I447" s="16"/>
      <c r="Q447" s="691">
        <f>ROUND('T2 ANSP'!C86,$D$446)</f>
        <v>0</v>
      </c>
      <c r="R447" s="691">
        <f>ROUND('T2 ANSP'!D86,$D$446)</f>
        <v>0</v>
      </c>
      <c r="S447" s="691">
        <f>ROUND('T2 ANSP'!E86,$D$446)</f>
        <v>0</v>
      </c>
      <c r="T447" s="691">
        <f>ROUND('T2 ANSP'!F86,$D$446)</f>
        <v>0</v>
      </c>
      <c r="Y447" s="695"/>
    </row>
    <row r="448" spans="1:25" outlineLevel="1">
      <c r="A448" s="696"/>
      <c r="B448" s="684"/>
      <c r="C448" s="697" t="s">
        <v>540</v>
      </c>
      <c r="D448" s="698"/>
      <c r="E448" s="680"/>
      <c r="F448" s="680"/>
      <c r="G448" s="16"/>
      <c r="H448" s="16"/>
      <c r="I448" s="16"/>
      <c r="Q448" s="691">
        <f>ROUND('T3 ANSP'!E97+'T3 ANSP'!F97,$D$446)</f>
        <v>0</v>
      </c>
      <c r="R448" s="691">
        <f>ROUND('T3 ANSP'!G97,$D$446)</f>
        <v>0</v>
      </c>
      <c r="S448" s="691">
        <f>ROUND('T3 ANSP'!H97,$D$446)</f>
        <v>0</v>
      </c>
      <c r="T448" s="691">
        <f>ROUND('T3 ANSP'!I97,$D$446)</f>
        <v>0</v>
      </c>
      <c r="Y448" s="695"/>
    </row>
    <row r="449" spans="1:25">
      <c r="A449" s="696" t="s">
        <v>411</v>
      </c>
      <c r="B449" s="684" t="s">
        <v>412</v>
      </c>
      <c r="C449" s="694" t="s">
        <v>413</v>
      </c>
      <c r="D449" s="675">
        <v>3</v>
      </c>
      <c r="E449" s="680"/>
      <c r="F449" s="680"/>
      <c r="G449" s="16"/>
      <c r="H449" s="16"/>
      <c r="I449" s="16"/>
      <c r="Q449" s="687" t="b">
        <f>ROUND('T2 ANSP'!C87,$D$449)=ROUND('T3 ANSP'!E114+'T3 ANSP'!F114,$D$449)</f>
        <v>1</v>
      </c>
      <c r="R449" s="687" t="b">
        <f>ROUND('T2 ANSP'!D87,$D$449)=ROUND('T3 ANSP'!G114,$D$449)</f>
        <v>1</v>
      </c>
      <c r="S449" s="687" t="b">
        <f>ROUND('T2 ANSP'!E87,$D$449)=ROUND('T3 ANSP'!H114,$D$449)</f>
        <v>1</v>
      </c>
      <c r="T449" s="687" t="b">
        <f>ROUND('T2 ANSP'!F87,$D$449)=ROUND('T3 ANSP'!I114,$D$449)</f>
        <v>1</v>
      </c>
    </row>
    <row r="450" spans="1:25" outlineLevel="1">
      <c r="A450" s="696"/>
      <c r="B450" s="684"/>
      <c r="C450" s="697" t="s">
        <v>397</v>
      </c>
      <c r="D450" s="698"/>
      <c r="E450" s="680"/>
      <c r="F450" s="680"/>
      <c r="G450" s="16"/>
      <c r="H450" s="16"/>
      <c r="I450" s="16"/>
      <c r="Q450" s="691">
        <f>ROUND('T2 ANSP'!C87,$D$449)</f>
        <v>12926.817999999999</v>
      </c>
      <c r="R450" s="691">
        <f>ROUND('T2 ANSP'!D87,$D$449)</f>
        <v>24888.144</v>
      </c>
      <c r="S450" s="691">
        <f>ROUND('T2 ANSP'!E87,$D$449)</f>
        <v>30331.010999999999</v>
      </c>
      <c r="T450" s="691">
        <f>ROUND('T2 ANSP'!F87,$D$449)</f>
        <v>0</v>
      </c>
    </row>
    <row r="451" spans="1:25" outlineLevel="1">
      <c r="A451" s="696"/>
      <c r="B451" s="684"/>
      <c r="C451" s="697" t="s">
        <v>540</v>
      </c>
      <c r="D451" s="698"/>
      <c r="E451" s="680"/>
      <c r="F451" s="680"/>
      <c r="G451" s="16"/>
      <c r="H451" s="16"/>
      <c r="I451" s="16"/>
      <c r="Q451" s="691">
        <f>ROUND('T3 ANSP'!E114+'T3 ANSP'!F114,$D$449)</f>
        <v>12926.817999999999</v>
      </c>
      <c r="R451" s="691">
        <f>ROUND('T3 ANSP'!G114,$D$449)</f>
        <v>24888.144</v>
      </c>
      <c r="S451" s="691">
        <f>ROUND('T3 ANSP'!H114,$D$449)</f>
        <v>30331.010999999999</v>
      </c>
      <c r="T451" s="691">
        <f>ROUND('T3 ANSP'!I114,$D$449)</f>
        <v>0</v>
      </c>
    </row>
    <row r="452" spans="1:25">
      <c r="A452" s="696" t="s">
        <v>414</v>
      </c>
      <c r="B452" s="684" t="s">
        <v>415</v>
      </c>
      <c r="C452" s="694" t="s">
        <v>416</v>
      </c>
      <c r="D452" s="675">
        <v>3</v>
      </c>
      <c r="E452" s="680"/>
      <c r="F452" s="680"/>
      <c r="G452" s="16"/>
      <c r="H452" s="16"/>
      <c r="I452" s="16"/>
      <c r="Q452" s="687" t="b">
        <f>ROUND('T2 ANSP'!C88,$D$452)=ROUND('T3 ANSP'!E125+'T3 ANSP'!E136+'T3 ANSP'!E147+'T3 ANSP'!E158+'T3 ANSP'!F125+'T3 ANSP'!F136+'T3 ANSP'!F147+'T3 ANSP'!F158,$D$452)</f>
        <v>1</v>
      </c>
      <c r="R452" s="687" t="b">
        <f>ROUND('T2 ANSP'!D88,$D$452)=ROUND('T3 ANSP'!G125+'T3 ANSP'!G136+'T3 ANSP'!G147+'T3 ANSP'!G158,$D$452)</f>
        <v>1</v>
      </c>
      <c r="S452" s="687" t="b">
        <f>ROUND('T2 ANSP'!E88,$D$452)=ROUND('T3 ANSP'!H125+'T3 ANSP'!H136+'T3 ANSP'!H147+'T3 ANSP'!H158,$D$452)</f>
        <v>1</v>
      </c>
      <c r="T452" s="687" t="b">
        <f>ROUND('T2 ANSP'!F88,$D$452)=ROUND('T3 ANSP'!I125+'T3 ANSP'!I136+'T3 ANSP'!I147+'T3 ANSP'!I158,$D$452)</f>
        <v>1</v>
      </c>
    </row>
    <row r="453" spans="1:25" outlineLevel="1">
      <c r="A453" s="696"/>
      <c r="B453" s="684"/>
      <c r="C453" s="697" t="s">
        <v>397</v>
      </c>
      <c r="D453" s="698"/>
      <c r="E453" s="680"/>
      <c r="F453" s="680"/>
      <c r="G453" s="16"/>
      <c r="H453" s="16"/>
      <c r="I453" s="16"/>
      <c r="Q453" s="691">
        <f>ROUND('T2 ANSP'!C88,$D$452)</f>
        <v>0</v>
      </c>
      <c r="R453" s="691">
        <f>ROUND('T2 ANSP'!D88,$D$452)</f>
        <v>0</v>
      </c>
      <c r="S453" s="691">
        <f>ROUND('T2 ANSP'!E88,$D$452)</f>
        <v>0</v>
      </c>
      <c r="T453" s="691">
        <f>ROUND('T2 ANSP'!F88,$D$452)</f>
        <v>0</v>
      </c>
    </row>
    <row r="454" spans="1:25" outlineLevel="1">
      <c r="A454" s="696"/>
      <c r="B454" s="684"/>
      <c r="C454" s="697" t="s">
        <v>540</v>
      </c>
      <c r="D454" s="698"/>
      <c r="E454" s="680"/>
      <c r="F454" s="680"/>
      <c r="G454" s="16"/>
      <c r="H454" s="16"/>
      <c r="I454" s="16"/>
      <c r="Q454" s="691">
        <f>ROUND('T3 ANSP'!E125+'T3 ANSP'!E136+'T3 ANSP'!E147+'T3 ANSP'!E158+'T3 ANSP'!F125+'T3 ANSP'!F136+'T3 ANSP'!F147+'T3 ANSP'!F158,$D$452)</f>
        <v>0</v>
      </c>
      <c r="R454" s="691">
        <f>ROUND('T3 ANSP'!G125+'T3 ANSP'!G136+'T3 ANSP'!G147+'T3 ANSP'!G158,$D$452)</f>
        <v>0</v>
      </c>
      <c r="S454" s="691">
        <f>ROUND('T3 ANSP'!H125+'T3 ANSP'!H136+'T3 ANSP'!H147+'T3 ANSP'!H158,$D$452)</f>
        <v>0</v>
      </c>
      <c r="T454" s="691">
        <f>ROUND('T3 ANSP'!I125+'T3 ANSP'!I136+'T3 ANSP'!I147+'T3 ANSP'!I158,$D$452)</f>
        <v>0</v>
      </c>
    </row>
    <row r="455" spans="1:25">
      <c r="A455" s="696" t="s">
        <v>417</v>
      </c>
      <c r="B455" s="684" t="s">
        <v>418</v>
      </c>
      <c r="C455" s="694" t="s">
        <v>419</v>
      </c>
      <c r="D455" s="675">
        <v>3</v>
      </c>
      <c r="E455" s="680"/>
      <c r="F455" s="680"/>
      <c r="G455" s="16"/>
      <c r="H455" s="16"/>
      <c r="I455" s="16"/>
      <c r="Q455" s="687" t="b">
        <f>ROUND('T2 ANSP'!C89,$D$455)=ROUND('T3 ANSP'!E172+'T3 ANSP'!F172,$D$455)</f>
        <v>1</v>
      </c>
      <c r="R455" s="687" t="b">
        <f>ROUND('T2 ANSP'!D89,$D$455)=ROUND('T3 ANSP'!G172,$D$455)</f>
        <v>1</v>
      </c>
      <c r="S455" s="687" t="b">
        <f>ROUND('T2 ANSP'!E89,$D$455)=ROUND('T3 ANSP'!H172,$D$455)</f>
        <v>1</v>
      </c>
      <c r="T455" s="687" t="b">
        <f>ROUND('T2 ANSP'!F89,$D$455)=ROUND('T3 ANSP'!I172,$D$455)</f>
        <v>1</v>
      </c>
    </row>
    <row r="456" spans="1:25" outlineLevel="1">
      <c r="A456" s="696"/>
      <c r="B456" s="684"/>
      <c r="C456" s="697" t="s">
        <v>397</v>
      </c>
      <c r="D456" s="698"/>
      <c r="E456" s="680"/>
      <c r="F456" s="680"/>
      <c r="G456" s="16"/>
      <c r="H456" s="16"/>
      <c r="I456" s="16"/>
      <c r="Q456" s="691">
        <f>ROUND('T2 ANSP'!C89,$D$455)</f>
        <v>0</v>
      </c>
      <c r="R456" s="691">
        <f>ROUND('T2 ANSP'!D89,$D$455)</f>
        <v>0</v>
      </c>
      <c r="S456" s="691">
        <f>ROUND('T2 ANSP'!E89,$D$455)</f>
        <v>0</v>
      </c>
      <c r="T456" s="691">
        <f>ROUND('T2 ANSP'!F89,$D$455)</f>
        <v>0</v>
      </c>
    </row>
    <row r="457" spans="1:25" outlineLevel="1">
      <c r="A457" s="696"/>
      <c r="B457" s="684"/>
      <c r="C457" s="697" t="s">
        <v>540</v>
      </c>
      <c r="D457" s="698"/>
      <c r="E457" s="680"/>
      <c r="F457" s="680"/>
      <c r="G457" s="16"/>
      <c r="H457" s="16"/>
      <c r="I457" s="16"/>
      <c r="Q457" s="691">
        <f>ROUND('T3 ANSP'!E172+'T3 ANSP'!F172,$D$455)</f>
        <v>0</v>
      </c>
      <c r="R457" s="691">
        <f>ROUND('T3 ANSP'!G172,$D$455)</f>
        <v>0</v>
      </c>
      <c r="S457" s="691">
        <f>ROUND('T3 ANSP'!H172,$D$455)</f>
        <v>0</v>
      </c>
      <c r="T457" s="691">
        <f>ROUND('T3 ANSP'!I172,$D$455)</f>
        <v>0</v>
      </c>
    </row>
    <row r="458" spans="1:25">
      <c r="A458" s="696" t="s">
        <v>420</v>
      </c>
      <c r="B458" s="684" t="s">
        <v>421</v>
      </c>
      <c r="C458" s="694" t="s">
        <v>422</v>
      </c>
      <c r="D458" s="675">
        <v>3</v>
      </c>
      <c r="E458" s="680"/>
      <c r="F458" s="680"/>
      <c r="G458" s="16"/>
      <c r="H458" s="16"/>
      <c r="I458" s="16"/>
      <c r="Q458" s="687" t="b">
        <f>ROUND('T2 ANSP'!C90,$D$458)=ROUND('T3 ANSP'!E165+'T3 ANSP'!F165,$D$458)</f>
        <v>1</v>
      </c>
      <c r="R458" s="687" t="b">
        <f>ROUND('T2 ANSP'!D90,$D$458)=ROUND('T3 ANSP'!G165,$D$458)</f>
        <v>1</v>
      </c>
      <c r="S458" s="687" t="b">
        <f>ROUND('T2 ANSP'!E90,$D$458)=ROUND('T3 ANSP'!H165,$D$458)</f>
        <v>1</v>
      </c>
      <c r="T458" s="687" t="b">
        <f>ROUND('T2 ANSP'!F90,$D$458)=ROUND('T3 ANSP'!I165,$D$458)</f>
        <v>1</v>
      </c>
    </row>
    <row r="459" spans="1:25" outlineLevel="1">
      <c r="A459" s="696"/>
      <c r="B459" s="684"/>
      <c r="C459" s="697" t="s">
        <v>397</v>
      </c>
      <c r="D459" s="698"/>
      <c r="E459" s="680"/>
      <c r="F459" s="680"/>
      <c r="G459" s="16"/>
      <c r="H459" s="16"/>
      <c r="I459" s="16"/>
      <c r="Q459" s="691">
        <f>ROUND('T2 ANSP'!C90,$D$458)</f>
        <v>0</v>
      </c>
      <c r="R459" s="691">
        <f>ROUND('T2 ANSP'!D90,$D$458)</f>
        <v>0</v>
      </c>
      <c r="S459" s="691">
        <f>ROUND('T2 ANSP'!E90,$D$458)</f>
        <v>0</v>
      </c>
      <c r="T459" s="691">
        <f>ROUND('T2 ANSP'!F90,$D$458)</f>
        <v>0</v>
      </c>
    </row>
    <row r="460" spans="1:25" outlineLevel="1">
      <c r="A460" s="696"/>
      <c r="B460" s="684"/>
      <c r="C460" s="697" t="s">
        <v>540</v>
      </c>
      <c r="D460" s="698"/>
      <c r="E460" s="680"/>
      <c r="F460" s="680"/>
      <c r="G460" s="16"/>
      <c r="H460" s="16"/>
      <c r="I460" s="16"/>
      <c r="Q460" s="691">
        <f>ROUND('T3 ANSP'!E165+'T3 ANSP'!F165,$D$458)</f>
        <v>0</v>
      </c>
      <c r="R460" s="691">
        <f>ROUND('T3 ANSP'!G165,$D$458)</f>
        <v>0</v>
      </c>
      <c r="S460" s="691">
        <f>ROUND('T3 ANSP'!H165,$D$458)</f>
        <v>0</v>
      </c>
      <c r="T460" s="691">
        <f>ROUND('T3 ANSP'!I165,$D$458)</f>
        <v>0</v>
      </c>
    </row>
    <row r="461" spans="1:25" s="699" customFormat="1">
      <c r="A461" s="683" t="s">
        <v>423</v>
      </c>
      <c r="B461" s="684" t="s">
        <v>424</v>
      </c>
      <c r="C461" s="694" t="s">
        <v>425</v>
      </c>
      <c r="D461" s="675">
        <v>3</v>
      </c>
      <c r="E461" s="680"/>
      <c r="F461" s="680"/>
      <c r="P461" s="16"/>
      <c r="Q461" s="687" t="b">
        <f>ROUND(SUM('T2 ANSP'!C82:C90),$D$461)=ROUND('T3 ANSP'!E175+'T3 ANSP'!F175,$D$461)</f>
        <v>1</v>
      </c>
      <c r="R461" s="687" t="b">
        <f>ROUND(SUM('T2 ANSP'!D82:D90),$D$461)=ROUND('T3 ANSP'!G175,$D$461)</f>
        <v>1</v>
      </c>
      <c r="S461" s="687" t="b">
        <f>ROUND(SUM('T2 ANSP'!E82:E90),$D$461)=ROUND('T3 ANSP'!H175,$D$461)</f>
        <v>1</v>
      </c>
      <c r="T461" s="687" t="b">
        <f>ROUND(SUM('T2 ANSP'!F82:F90),$D$461)=ROUND('T3 ANSP'!I175,$D$461)</f>
        <v>1</v>
      </c>
      <c r="W461" s="680"/>
      <c r="X461" s="680"/>
      <c r="Y461" s="680"/>
    </row>
    <row r="462" spans="1:25" outlineLevel="1">
      <c r="A462" s="684"/>
      <c r="B462" s="684"/>
      <c r="C462" s="697" t="s">
        <v>426</v>
      </c>
      <c r="D462" s="698"/>
      <c r="E462" s="680"/>
      <c r="F462" s="680"/>
      <c r="G462" s="16"/>
      <c r="H462" s="16"/>
      <c r="I462" s="16"/>
      <c r="Q462" s="691">
        <f>ROUND(SUM('T2 ANSP'!C82:C90),$D$461)</f>
        <v>112850.967</v>
      </c>
      <c r="R462" s="691">
        <f>ROUND(SUM('T2 ANSP'!D82:D90),$D$461)</f>
        <v>24888.144</v>
      </c>
      <c r="S462" s="691">
        <f>ROUND(SUM('T2 ANSP'!E82:E90),$D$461)</f>
        <v>30331.010999999999</v>
      </c>
      <c r="T462" s="691">
        <f>ROUND(SUM('T2 ANSP'!F82:F90),$D$461)</f>
        <v>0</v>
      </c>
      <c r="W462" s="680"/>
      <c r="X462" s="680"/>
      <c r="Y462" s="680"/>
    </row>
    <row r="463" spans="1:25" outlineLevel="1">
      <c r="A463" s="684"/>
      <c r="B463" s="684"/>
      <c r="C463" s="697" t="s">
        <v>541</v>
      </c>
      <c r="D463" s="698"/>
      <c r="E463" s="680"/>
      <c r="F463" s="680"/>
      <c r="G463" s="16"/>
      <c r="H463" s="16"/>
      <c r="I463" s="16"/>
      <c r="Q463" s="691">
        <f>ROUND('T3 ANSP'!E175+'T3 ANSP'!F175,$D$461)</f>
        <v>112850.967</v>
      </c>
      <c r="R463" s="691">
        <f>ROUND('T3 ANSP'!G175,$D$461)</f>
        <v>24888.144</v>
      </c>
      <c r="S463" s="691">
        <f>ROUND('T3 ANSP'!H175,$D$461)</f>
        <v>30331.010999999999</v>
      </c>
      <c r="T463" s="691">
        <f>ROUND('T3 ANSP'!I175,$D$461)</f>
        <v>0</v>
      </c>
      <c r="W463" s="680"/>
      <c r="X463" s="680"/>
      <c r="Y463" s="680"/>
    </row>
    <row r="464" spans="1:25" s="686" customFormat="1">
      <c r="A464" s="683" t="s">
        <v>427</v>
      </c>
      <c r="B464" s="684" t="s">
        <v>428</v>
      </c>
      <c r="C464" s="685" t="s">
        <v>429</v>
      </c>
      <c r="D464" s="675">
        <v>3</v>
      </c>
      <c r="E464" s="680"/>
      <c r="F464" s="680"/>
      <c r="P464" s="16"/>
      <c r="Q464" s="687" t="b">
        <f>ROUND('T2 ANSP'!C91,$D$464)=ROUND(SUM('T2 ANSP'!C81:C90),$D$464)</f>
        <v>1</v>
      </c>
      <c r="R464" s="687" t="b">
        <f>ROUND('T2 ANSP'!D91,$D$464)=ROUND(SUM('T2 ANSP'!D81:D90),$D$464)</f>
        <v>1</v>
      </c>
      <c r="S464" s="687" t="b">
        <f>ROUND('T2 ANSP'!E91,$D$464)=ROUND(SUM('T2 ANSP'!E81:E90),$D$464)</f>
        <v>1</v>
      </c>
      <c r="T464" s="687" t="b">
        <f>ROUND('T2 ANSP'!F91,$D$464)=ROUND(SUM('T2 ANSP'!F81:F90),$D$464)</f>
        <v>1</v>
      </c>
    </row>
    <row r="465" spans="1:20" s="690" customFormat="1" outlineLevel="1">
      <c r="A465" s="683"/>
      <c r="B465" s="684"/>
      <c r="C465" s="692" t="s">
        <v>430</v>
      </c>
      <c r="D465" s="689"/>
      <c r="E465" s="680"/>
      <c r="F465" s="680"/>
      <c r="P465" s="16"/>
      <c r="Q465" s="691">
        <f>ROUND('T2 ANSP'!C91,$D$464)</f>
        <v>915893.70799999998</v>
      </c>
      <c r="R465" s="691">
        <f>ROUND('T2 ANSP'!D91,$D$464)</f>
        <v>425006.10200000001</v>
      </c>
      <c r="S465" s="691">
        <f>ROUND('T2 ANSP'!E91,$D$464)</f>
        <v>451912.41800000001</v>
      </c>
      <c r="T465" s="691">
        <f>ROUND('T2 ANSP'!F91,$D$464)</f>
        <v>437181.06900000002</v>
      </c>
    </row>
    <row r="466" spans="1:20" s="690" customFormat="1" outlineLevel="1">
      <c r="A466" s="683"/>
      <c r="B466" s="684"/>
      <c r="C466" s="677" t="s">
        <v>431</v>
      </c>
      <c r="D466" s="689"/>
      <c r="E466" s="680"/>
      <c r="F466" s="680"/>
      <c r="P466" s="16"/>
      <c r="Q466" s="691">
        <f>ROUND(SUM('T2 ANSP'!C81:C90),$D$464)</f>
        <v>915893.70799999998</v>
      </c>
      <c r="R466" s="691">
        <f>ROUND(SUM('T2 ANSP'!D81:D90),$D$464)</f>
        <v>425006.10200000001</v>
      </c>
      <c r="S466" s="691">
        <f>ROUND(SUM('T2 ANSP'!E81:E90),$D$464)</f>
        <v>451912.41800000001</v>
      </c>
      <c r="T466" s="691">
        <f>ROUND(SUM('T2 ANSP'!F81:F90),$D$464)</f>
        <v>437181.06900000002</v>
      </c>
    </row>
    <row r="467" spans="1:20" s="686" customFormat="1">
      <c r="A467" s="683" t="s">
        <v>432</v>
      </c>
      <c r="B467" s="684" t="s">
        <v>433</v>
      </c>
      <c r="C467" s="685" t="s">
        <v>434</v>
      </c>
      <c r="D467" s="675">
        <v>3</v>
      </c>
      <c r="E467" s="680"/>
      <c r="F467" s="680"/>
      <c r="P467" s="16"/>
      <c r="Q467" s="687" t="b">
        <f>ROUND('T2 ANSP'!C92,$D$467)=ROUND('T2 ANSP'!C38,$D$467)</f>
        <v>1</v>
      </c>
      <c r="R467" s="687" t="b">
        <f>ROUND('T2 ANSP'!D92,$D$467)=ROUND('T2 ANSP'!D38,$D$467)</f>
        <v>1</v>
      </c>
      <c r="S467" s="687" t="b">
        <f>ROUND('T2 ANSP'!E92,$D$467)=ROUND('T2 ANSP'!E38,$D$467)</f>
        <v>1</v>
      </c>
      <c r="T467" s="687" t="b">
        <f>ROUND('T2 ANSP'!F92,$D$467)=ROUND('T2 ANSP'!F38,$D$467)</f>
        <v>1</v>
      </c>
    </row>
    <row r="468" spans="1:20" s="690" customFormat="1" outlineLevel="1">
      <c r="A468" s="683"/>
      <c r="B468" s="684"/>
      <c r="C468" s="688" t="s">
        <v>435</v>
      </c>
      <c r="D468" s="689"/>
      <c r="E468" s="680"/>
      <c r="F468" s="680"/>
      <c r="P468" s="16"/>
      <c r="Q468" s="691">
        <f>ROUND('T2 ANSP'!C92,$D$467)</f>
        <v>273.57</v>
      </c>
      <c r="R468" s="691">
        <f>ROUND('T2 ANSP'!D92,$D$467)</f>
        <v>204.803</v>
      </c>
      <c r="S468" s="691">
        <f>ROUND('T2 ANSP'!E92,$D$467)</f>
        <v>240.423</v>
      </c>
      <c r="T468" s="691">
        <f>ROUND('T2 ANSP'!F92,$D$467)</f>
        <v>258.33800000000002</v>
      </c>
    </row>
    <row r="469" spans="1:20" s="690" customFormat="1" outlineLevel="1">
      <c r="A469" s="683"/>
      <c r="B469" s="684"/>
      <c r="C469" s="688" t="s">
        <v>436</v>
      </c>
      <c r="D469" s="689"/>
      <c r="E469" s="680"/>
      <c r="F469" s="680"/>
      <c r="P469" s="16"/>
      <c r="Q469" s="691">
        <f>ROUND('T2 ANSP'!C38,$D$467)</f>
        <v>273.57</v>
      </c>
      <c r="R469" s="691">
        <f>ROUND('T2 ANSP'!D38,$D$467)</f>
        <v>204.803</v>
      </c>
      <c r="S469" s="691">
        <f>ROUND('T2 ANSP'!E38,$D$467)</f>
        <v>240.423</v>
      </c>
      <c r="T469" s="691">
        <f>ROUND('T2 ANSP'!F38,$D$467)</f>
        <v>258.33800000000002</v>
      </c>
    </row>
    <row r="470" spans="1:20" s="686" customFormat="1">
      <c r="A470" s="683" t="s">
        <v>437</v>
      </c>
      <c r="B470" s="684" t="s">
        <v>438</v>
      </c>
      <c r="C470" s="685" t="s">
        <v>439</v>
      </c>
      <c r="D470" s="675">
        <v>2</v>
      </c>
      <c r="E470" s="680"/>
      <c r="F470" s="680"/>
      <c r="P470" s="16"/>
      <c r="Q470" s="700" t="b">
        <f>ROUND('T2 ANSP'!C93,$D$470)=ROUND('T2 ANSP'!C91/'T2 ANSP'!C92,$D$470)</f>
        <v>1</v>
      </c>
      <c r="R470" s="700" t="b">
        <f>ROUND('T2 ANSP'!D93,$D$470)=ROUND('T2 ANSP'!D91/'T2 ANSP'!D92,$D$470)</f>
        <v>1</v>
      </c>
      <c r="S470" s="700" t="b">
        <f>ROUND('T2 ANSP'!E93,$D$470)=ROUND('T2 ANSP'!E91/'T2 ANSP'!E92,$D$470)</f>
        <v>1</v>
      </c>
      <c r="T470" s="700" t="b">
        <f>ROUND('T2 ANSP'!F93,$D$470)=ROUND('T2 ANSP'!F91/'T2 ANSP'!F92,$D$470)</f>
        <v>1</v>
      </c>
    </row>
    <row r="471" spans="1:20" s="690" customFormat="1" outlineLevel="1">
      <c r="A471" s="683"/>
      <c r="B471" s="684"/>
      <c r="C471" s="688" t="s">
        <v>440</v>
      </c>
      <c r="D471" s="689"/>
      <c r="E471" s="680"/>
      <c r="F471" s="680"/>
      <c r="P471" s="16"/>
      <c r="Q471" s="693">
        <f>ROUND('T2 ANSP'!C93,$D$470)</f>
        <v>3347.94</v>
      </c>
      <c r="R471" s="693">
        <f>ROUND('T2 ANSP'!D93,$D$470)</f>
        <v>2075.19</v>
      </c>
      <c r="S471" s="693">
        <f>ROUND('T2 ANSP'!E93,$D$470)</f>
        <v>1879.66</v>
      </c>
      <c r="T471" s="693">
        <f>ROUND('T2 ANSP'!F93,$D$470)</f>
        <v>1692.28</v>
      </c>
    </row>
    <row r="472" spans="1:20" s="690" customFormat="1" outlineLevel="1">
      <c r="A472" s="683"/>
      <c r="B472" s="684"/>
      <c r="C472" s="677" t="s">
        <v>441</v>
      </c>
      <c r="D472" s="689"/>
      <c r="E472" s="680"/>
      <c r="F472" s="680"/>
      <c r="P472" s="16"/>
      <c r="Q472" s="693">
        <f>ROUND('T2 ANSP'!C91/'T2 ANSP'!C92,$D$470)</f>
        <v>3347.94</v>
      </c>
      <c r="R472" s="693">
        <f>ROUND('T2 ANSP'!D91/'T2 ANSP'!D92,$D$470)</f>
        <v>2075.19</v>
      </c>
      <c r="S472" s="693">
        <f>ROUND('T2 ANSP'!E91/'T2 ANSP'!E92,$D$470)</f>
        <v>1879.66</v>
      </c>
      <c r="T472" s="693">
        <f>ROUND('T2 ANSP'!F91/'T2 ANSP'!F92,$D$470)</f>
        <v>1692.28</v>
      </c>
    </row>
    <row r="473" spans="1:20" s="690" customFormat="1" outlineLevel="1">
      <c r="A473" s="683" t="s">
        <v>543</v>
      </c>
      <c r="B473" s="684" t="s">
        <v>544</v>
      </c>
      <c r="C473" s="685" t="s">
        <v>545</v>
      </c>
      <c r="D473" s="689"/>
      <c r="E473" s="680"/>
      <c r="F473" s="680"/>
      <c r="P473" s="16"/>
      <c r="Q473" s="687" t="b">
        <f>'T2 ANSP'!C94&lt;=0</f>
        <v>1</v>
      </c>
      <c r="R473" s="687" t="b">
        <f>'T2 ANSP'!D94&lt;=0</f>
        <v>1</v>
      </c>
      <c r="S473" s="687" t="b">
        <f>'T2 ANSP'!E94&lt;=0</f>
        <v>1</v>
      </c>
      <c r="T473" s="687" t="b">
        <f>'T2 ANSP'!F94&lt;=0</f>
        <v>1</v>
      </c>
    </row>
    <row r="474" spans="1:20" s="690" customFormat="1" outlineLevel="1">
      <c r="A474" s="683"/>
      <c r="B474" s="684"/>
      <c r="C474" s="688" t="s">
        <v>546</v>
      </c>
      <c r="D474" s="689"/>
      <c r="E474" s="680"/>
      <c r="F474" s="680"/>
      <c r="P474" s="16"/>
      <c r="Q474" s="691">
        <f>'T2 ANSP'!C94</f>
        <v>-1527.5855685694476</v>
      </c>
      <c r="R474" s="691">
        <f>'T2 ANSP'!D94</f>
        <v>-184.00872475684901</v>
      </c>
      <c r="S474" s="691">
        <f>'T2 ANSP'!E94</f>
        <v>0</v>
      </c>
      <c r="T474" s="691">
        <f>'T2 ANSP'!F94</f>
        <v>0</v>
      </c>
    </row>
    <row r="475" spans="1:20" s="686" customFormat="1">
      <c r="A475" s="683" t="s">
        <v>442</v>
      </c>
      <c r="B475" s="684" t="s">
        <v>443</v>
      </c>
      <c r="C475" s="685" t="s">
        <v>444</v>
      </c>
      <c r="D475" s="675">
        <v>2</v>
      </c>
      <c r="E475" s="680"/>
      <c r="F475" s="680"/>
      <c r="P475" s="16"/>
      <c r="Q475" s="700" t="b">
        <f>ROUND('T2 ANSP'!C96,$D$475)=ROUND('T2 ANSP'!C93+'T2 ANSP'!C94,$D$475)</f>
        <v>1</v>
      </c>
      <c r="R475" s="700" t="b">
        <f>ROUND('T2 ANSP'!D96,$D$475)=ROUND('T2 ANSP'!D93+'T2 ANSP'!D94,$D$475)</f>
        <v>1</v>
      </c>
      <c r="S475" s="700" t="b">
        <f>ROUND('T2 ANSP'!E96,$D$475)=ROUND('T2 ANSP'!E93+'T2 ANSP'!E94,$D$475)</f>
        <v>1</v>
      </c>
      <c r="T475" s="700" t="b">
        <f>ROUND('T2 ANSP'!F96,$D$475)=ROUND('T2 ANSP'!F93+'T2 ANSP'!F94,$D$475)</f>
        <v>1</v>
      </c>
    </row>
    <row r="476" spans="1:20" s="690" customFormat="1" outlineLevel="1">
      <c r="A476" s="683"/>
      <c r="B476" s="684"/>
      <c r="C476" s="688" t="s">
        <v>445</v>
      </c>
      <c r="D476" s="689"/>
      <c r="E476" s="680"/>
      <c r="F476" s="680"/>
      <c r="P476" s="16"/>
      <c r="Q476" s="693">
        <f>ROUND('T2 ANSP'!C96,$D$475)</f>
        <v>1820.35</v>
      </c>
      <c r="R476" s="693">
        <f>ROUND('T2 ANSP'!D96,$D$475)</f>
        <v>1891.18</v>
      </c>
      <c r="S476" s="693">
        <f>ROUND('T2 ANSP'!E96,$D$475)</f>
        <v>1879.66</v>
      </c>
      <c r="T476" s="693">
        <f>ROUND('T2 ANSP'!F96,$D$475)</f>
        <v>1692.28</v>
      </c>
    </row>
    <row r="477" spans="1:20" s="690" customFormat="1" outlineLevel="1">
      <c r="A477" s="683"/>
      <c r="B477" s="684"/>
      <c r="C477" s="688" t="s">
        <v>446</v>
      </c>
      <c r="D477" s="689"/>
      <c r="E477" s="680"/>
      <c r="F477" s="680"/>
      <c r="P477" s="16"/>
      <c r="Q477" s="693">
        <f>ROUND('T2 ANSP'!C93+'T2 ANSP'!C94,$D$475)</f>
        <v>1820.35</v>
      </c>
      <c r="R477" s="693">
        <f>ROUND('T2 ANSP'!D93+'T2 ANSP'!D94,$D$475)</f>
        <v>1891.18</v>
      </c>
      <c r="S477" s="693">
        <f>ROUND('T2 ANSP'!E93+'T2 ANSP'!E94,$D$475)</f>
        <v>1879.66</v>
      </c>
      <c r="T477" s="693">
        <f>ROUND('T2 ANSP'!F93+'T2 ANSP'!F94,$D$475)</f>
        <v>1692.28</v>
      </c>
    </row>
    <row r="478" spans="1:20" s="38" customFormat="1" ht="18.75">
      <c r="A478" s="27" t="s">
        <v>13</v>
      </c>
      <c r="B478" s="28" t="s">
        <v>14</v>
      </c>
      <c r="C478" s="29" t="s">
        <v>462</v>
      </c>
      <c r="D478" s="681"/>
      <c r="E478" s="682"/>
      <c r="F478" s="682"/>
      <c r="G478" s="682"/>
      <c r="H478" s="682"/>
      <c r="I478" s="682"/>
      <c r="J478" s="682"/>
      <c r="K478" s="682"/>
      <c r="L478" s="682"/>
      <c r="M478" s="682"/>
      <c r="N478" s="682"/>
      <c r="O478" s="682"/>
      <c r="P478" s="16"/>
      <c r="Q478" s="682"/>
      <c r="R478" s="682"/>
      <c r="S478" s="682"/>
      <c r="T478" s="682"/>
    </row>
    <row r="479" spans="1:20" s="686" customFormat="1">
      <c r="A479" s="683" t="s">
        <v>361</v>
      </c>
      <c r="B479" s="684" t="s">
        <v>362</v>
      </c>
      <c r="C479" s="685" t="s">
        <v>550</v>
      </c>
      <c r="D479" s="675">
        <v>3</v>
      </c>
      <c r="E479" s="680"/>
      <c r="F479" s="680"/>
      <c r="P479" s="16"/>
      <c r="Q479" s="687" t="b">
        <f>ROUND('T2 MET'!C12,$D$479)=ROUND('T1 MET'!M61,$D$479)</f>
        <v>1</v>
      </c>
      <c r="R479" s="687" t="b">
        <f>ROUND('T2 MET'!D12,$D$479)=ROUND('T1 MET'!N61,$D$479)</f>
        <v>1</v>
      </c>
      <c r="S479" s="687" t="b">
        <f>ROUND('T2 MET'!E12,$D$479)=ROUND('T1 MET'!O61,$D$479)</f>
        <v>1</v>
      </c>
      <c r="T479" s="687" t="b">
        <f>ROUND('T2 MET'!F12,$D$479)=ROUND('T1 MET'!P61,$D$479)</f>
        <v>1</v>
      </c>
    </row>
    <row r="480" spans="1:20" s="690" customFormat="1" outlineLevel="1">
      <c r="A480" s="683"/>
      <c r="B480" s="684"/>
      <c r="C480" s="688" t="s">
        <v>364</v>
      </c>
      <c r="D480" s="689"/>
      <c r="E480" s="680"/>
      <c r="F480" s="680"/>
      <c r="P480" s="16"/>
      <c r="Q480" s="691">
        <f>ROUND('T2 MET'!C12,$D$479)</f>
        <v>16033.686</v>
      </c>
      <c r="R480" s="691">
        <f>ROUND('T2 MET'!D12,$D$479)</f>
        <v>8266.15</v>
      </c>
      <c r="S480" s="691">
        <f>ROUND('T2 MET'!E12,$D$479)</f>
        <v>8431.473</v>
      </c>
      <c r="T480" s="691">
        <f>ROUND('T2 MET'!F12,$D$479)</f>
        <v>8600.1029999999992</v>
      </c>
    </row>
    <row r="481" spans="1:20" s="690" customFormat="1" outlineLevel="1">
      <c r="A481" s="683"/>
      <c r="B481" s="684"/>
      <c r="C481" s="688" t="s">
        <v>365</v>
      </c>
      <c r="D481" s="689"/>
      <c r="E481" s="680"/>
      <c r="F481" s="680"/>
      <c r="P481" s="16"/>
      <c r="Q481" s="691">
        <f>ROUND('T1 MET'!M61,$D$479)</f>
        <v>16033.686</v>
      </c>
      <c r="R481" s="691">
        <f>ROUND('T1 MET'!N61,$D$479)</f>
        <v>8266.15</v>
      </c>
      <c r="S481" s="691">
        <f>ROUND('T1 MET'!O61,$D$479)</f>
        <v>8431.473</v>
      </c>
      <c r="T481" s="691">
        <f>ROUND('T1 MET'!P61,$D$479)</f>
        <v>8600.1029999999992</v>
      </c>
    </row>
    <row r="482" spans="1:20" s="686" customFormat="1">
      <c r="A482" s="683" t="s">
        <v>366</v>
      </c>
      <c r="B482" s="684" t="s">
        <v>49</v>
      </c>
      <c r="C482" s="685" t="s">
        <v>551</v>
      </c>
      <c r="D482" s="675">
        <v>3</v>
      </c>
      <c r="E482" s="680"/>
      <c r="F482" s="680"/>
      <c r="P482" s="16"/>
      <c r="Q482" s="687" t="b">
        <f>ROUND('T2 MET'!C15,$D$482)=ROUND('T1 MET'!M61-'T1 MET'!M15-'T1 MET'!M16,$D$482)</f>
        <v>1</v>
      </c>
      <c r="R482" s="687" t="b">
        <f>ROUND('T2 MET'!D15,$D$482)=ROUND('T1 MET'!N61-'T1 MET'!N15-'T1 MET'!N16,$D$482)</f>
        <v>1</v>
      </c>
      <c r="S482" s="687" t="b">
        <f>ROUND('T2 MET'!E15,$D$482)=ROUND('T1 MET'!O61-'T1 MET'!O15-'T1 MET'!O16,$D$482)</f>
        <v>1</v>
      </c>
      <c r="T482" s="687" t="b">
        <f>ROUND('T2 MET'!F15,$D$482)=ROUND('T1 MET'!P61-'T1 MET'!P15-'T1 MET'!P16,$D$482)</f>
        <v>1</v>
      </c>
    </row>
    <row r="483" spans="1:20" s="690" customFormat="1" outlineLevel="1">
      <c r="A483" s="683"/>
      <c r="B483" s="684"/>
      <c r="C483" s="688" t="s">
        <v>368</v>
      </c>
      <c r="D483" s="689"/>
      <c r="E483" s="680"/>
      <c r="F483" s="680"/>
      <c r="P483" s="16"/>
      <c r="Q483" s="691">
        <f>ROUND('T2 MET'!C15,$D$482)</f>
        <v>16033.686</v>
      </c>
      <c r="R483" s="691">
        <f>ROUND('T2 MET'!D15,$D$482)</f>
        <v>8266.15</v>
      </c>
      <c r="S483" s="691">
        <f>ROUND('T2 MET'!E15,$D$482)</f>
        <v>8431.473</v>
      </c>
      <c r="T483" s="691">
        <f>ROUND('T2 MET'!F15,$D$482)</f>
        <v>8600.1029999999992</v>
      </c>
    </row>
    <row r="484" spans="1:20" s="690" customFormat="1" outlineLevel="1">
      <c r="A484" s="683"/>
      <c r="B484" s="684"/>
      <c r="C484" s="688" t="s">
        <v>369</v>
      </c>
      <c r="D484" s="689"/>
      <c r="E484" s="680"/>
      <c r="F484" s="680"/>
      <c r="P484" s="16"/>
      <c r="Q484" s="691">
        <f>ROUND('T1 MET'!M61-'T1 MET'!M15-'T1 MET'!M16,$D$482)</f>
        <v>16033.686</v>
      </c>
      <c r="R484" s="691">
        <f>ROUND('T1 MET'!N61-'T1 MET'!N15-'T1 MET'!N16,$D$482)</f>
        <v>8266.15</v>
      </c>
      <c r="S484" s="691">
        <f>ROUND('T1 MET'!O61-'T1 MET'!O15-'T1 MET'!O16,$D$482)</f>
        <v>8431.473</v>
      </c>
      <c r="T484" s="691">
        <f>ROUND('T1 MET'!P61-'T1 MET'!P15-'T1 MET'!P16,$D$482)</f>
        <v>8600.1029999999992</v>
      </c>
    </row>
    <row r="485" spans="1:20" s="686" customFormat="1">
      <c r="A485" s="683" t="s">
        <v>370</v>
      </c>
      <c r="B485" s="684" t="s">
        <v>371</v>
      </c>
      <c r="C485" s="685" t="s">
        <v>552</v>
      </c>
      <c r="D485" s="689"/>
      <c r="E485" s="680"/>
      <c r="F485" s="680"/>
      <c r="P485" s="16"/>
      <c r="R485" s="687" t="b">
        <f>'T2 MET'!D16='T1 MET'!N65</f>
        <v>1</v>
      </c>
      <c r="S485" s="687" t="b">
        <f>'T2 MET'!E16='T1 MET'!O65</f>
        <v>1</v>
      </c>
      <c r="T485" s="687" t="b">
        <f>'T2 MET'!F16='T1 MET'!P65</f>
        <v>1</v>
      </c>
    </row>
    <row r="486" spans="1:20" s="690" customFormat="1" outlineLevel="1">
      <c r="A486" s="683"/>
      <c r="B486" s="684"/>
      <c r="C486" s="692" t="s">
        <v>373</v>
      </c>
      <c r="D486" s="689"/>
      <c r="E486" s="680"/>
      <c r="F486" s="680"/>
      <c r="P486" s="16"/>
      <c r="Q486" s="686"/>
      <c r="R486" s="693">
        <f>'T2 MET'!D16</f>
        <v>111.15895068431999</v>
      </c>
      <c r="S486" s="693">
        <f>'T2 MET'!E16</f>
        <v>113.38212969800639</v>
      </c>
      <c r="T486" s="693">
        <f>'T2 MET'!F16</f>
        <v>115.64977229196653</v>
      </c>
    </row>
    <row r="487" spans="1:20" s="690" customFormat="1" outlineLevel="1">
      <c r="A487" s="683"/>
      <c r="B487" s="684"/>
      <c r="C487" s="692" t="s">
        <v>374</v>
      </c>
      <c r="D487" s="689"/>
      <c r="E487" s="680"/>
      <c r="F487" s="680"/>
      <c r="P487" s="16"/>
      <c r="Q487" s="686"/>
      <c r="R487" s="693">
        <f>'T1 MET'!N65</f>
        <v>111.15895068431999</v>
      </c>
      <c r="S487" s="693">
        <f>'T1 MET'!O65</f>
        <v>113.38212969800639</v>
      </c>
      <c r="T487" s="693">
        <f>'T1 MET'!P65</f>
        <v>115.64977229196653</v>
      </c>
    </row>
    <row r="488" spans="1:20" s="686" customFormat="1">
      <c r="A488" s="701" t="s">
        <v>375</v>
      </c>
      <c r="B488" s="696" t="s">
        <v>376</v>
      </c>
      <c r="C488" s="685" t="s">
        <v>553</v>
      </c>
      <c r="D488" s="675">
        <v>3</v>
      </c>
      <c r="E488" s="680"/>
      <c r="F488" s="680"/>
      <c r="P488" s="16"/>
      <c r="Q488" s="687" t="b">
        <f>'T2 MET'!C33=0</f>
        <v>1</v>
      </c>
      <c r="R488" s="687" t="b">
        <f>'T2 MET'!D33=0</f>
        <v>1</v>
      </c>
      <c r="S488" s="687" t="b">
        <f>'T2 MET'!E33=0</f>
        <v>1</v>
      </c>
      <c r="T488" s="687" t="b">
        <f>'T2 MET'!F33=0</f>
        <v>1</v>
      </c>
    </row>
    <row r="489" spans="1:20" s="690" customFormat="1" outlineLevel="1">
      <c r="A489" s="701"/>
      <c r="B489" s="696"/>
      <c r="C489" s="688" t="s">
        <v>542</v>
      </c>
      <c r="D489" s="689"/>
      <c r="E489" s="680"/>
      <c r="F489" s="680"/>
      <c r="P489" s="16"/>
      <c r="Q489" s="691">
        <f>'T2 MET'!C33</f>
        <v>0</v>
      </c>
      <c r="R489" s="691">
        <f>'T2 MET'!D33</f>
        <v>0</v>
      </c>
      <c r="S489" s="691">
        <f>'T2 MET'!E33</f>
        <v>0</v>
      </c>
      <c r="T489" s="691">
        <f>'T2 MET'!F33</f>
        <v>0</v>
      </c>
    </row>
    <row r="490" spans="1:20" s="686" customFormat="1">
      <c r="A490" s="683" t="s">
        <v>380</v>
      </c>
      <c r="B490" s="684" t="s">
        <v>381</v>
      </c>
      <c r="C490" s="685" t="s">
        <v>554</v>
      </c>
      <c r="D490" s="675">
        <v>3</v>
      </c>
      <c r="E490" s="680"/>
      <c r="F490" s="680"/>
      <c r="K490" s="690"/>
      <c r="L490" s="690"/>
      <c r="P490" s="16"/>
      <c r="Q490" s="687" t="b">
        <f>ROUND('T2 MET'!C38,$D$490)=ROUND('T1 MET'!M68,$D$490)</f>
        <v>1</v>
      </c>
      <c r="R490" s="687" t="b">
        <f>ROUND('T2 MET'!D38,$D$490)=ROUND('T1 MET'!N68,$D$490)</f>
        <v>1</v>
      </c>
      <c r="S490" s="687" t="b">
        <f>ROUND('T2 MET'!E38,$D$490)=ROUND('T1 MET'!O68,$D$490)</f>
        <v>1</v>
      </c>
      <c r="T490" s="687" t="b">
        <f>ROUND('T2 MET'!F38,$D$490)=ROUND('T1 MET'!P68,$D$490)</f>
        <v>1</v>
      </c>
    </row>
    <row r="491" spans="1:20" s="690" customFormat="1" outlineLevel="1">
      <c r="A491" s="683"/>
      <c r="B491" s="684"/>
      <c r="C491" s="688" t="s">
        <v>383</v>
      </c>
      <c r="D491" s="689"/>
      <c r="E491" s="680"/>
      <c r="F491" s="680"/>
      <c r="P491" s="16"/>
      <c r="Q491" s="691">
        <f>ROUND('T2 MET'!C38,$D$490)</f>
        <v>273.57</v>
      </c>
      <c r="R491" s="691">
        <f>ROUND('T2 MET'!D38,$D$490)</f>
        <v>204.803</v>
      </c>
      <c r="S491" s="691">
        <f>ROUND('T2 MET'!E38,$D$490)</f>
        <v>240.423</v>
      </c>
      <c r="T491" s="691">
        <f>ROUND('T2 MET'!F38,$D$490)</f>
        <v>258.33800000000002</v>
      </c>
    </row>
    <row r="492" spans="1:20" s="690" customFormat="1" outlineLevel="1">
      <c r="A492" s="683"/>
      <c r="B492" s="684"/>
      <c r="C492" s="688" t="s">
        <v>384</v>
      </c>
      <c r="D492" s="689"/>
      <c r="E492" s="680"/>
      <c r="F492" s="680"/>
      <c r="P492" s="16"/>
      <c r="Q492" s="691">
        <f>ROUND('T1 MET'!M68,$D$490)</f>
        <v>273.57</v>
      </c>
      <c r="R492" s="691">
        <f>ROUND('T1 MET'!N68,$D$490)</f>
        <v>204.803</v>
      </c>
      <c r="S492" s="691">
        <f>ROUND('T1 MET'!O68,$D$490)</f>
        <v>240.423</v>
      </c>
      <c r="T492" s="691">
        <f>ROUND('T1 MET'!P68,$D$490)</f>
        <v>258.33800000000002</v>
      </c>
    </row>
    <row r="493" spans="1:20" s="686" customFormat="1">
      <c r="A493" s="683" t="s">
        <v>385</v>
      </c>
      <c r="B493" s="684" t="s">
        <v>386</v>
      </c>
      <c r="C493" s="685" t="s">
        <v>387</v>
      </c>
      <c r="D493" s="675"/>
      <c r="E493" s="680"/>
      <c r="F493" s="680"/>
      <c r="G493" s="680"/>
      <c r="H493" s="680"/>
      <c r="I493" s="680"/>
      <c r="J493" s="680"/>
      <c r="K493" s="680"/>
      <c r="L493" s="680"/>
      <c r="P493" s="16"/>
      <c r="Q493" s="687" t="b">
        <f>'T2 MET'!C73=SUM('T2 MET'!C69:C72)</f>
        <v>1</v>
      </c>
      <c r="R493" s="687" t="b">
        <f>'T2 MET'!D73=SUM('T2 MET'!D69:D72)</f>
        <v>1</v>
      </c>
      <c r="S493" s="687" t="b">
        <f>'T2 MET'!E73=SUM('T2 MET'!E69:E72)</f>
        <v>1</v>
      </c>
      <c r="T493" s="687" t="b">
        <f>'T2 MET'!F73=SUM('T2 MET'!F69:F72)</f>
        <v>1</v>
      </c>
    </row>
    <row r="494" spans="1:20" s="690" customFormat="1" outlineLevel="1">
      <c r="A494" s="683"/>
      <c r="B494" s="684"/>
      <c r="C494" s="692" t="s">
        <v>388</v>
      </c>
      <c r="D494" s="689"/>
      <c r="E494" s="680"/>
      <c r="F494" s="680"/>
      <c r="G494" s="680"/>
      <c r="H494" s="680"/>
      <c r="I494" s="680"/>
      <c r="J494" s="680"/>
      <c r="K494" s="680"/>
      <c r="L494" s="680"/>
      <c r="P494" s="16"/>
      <c r="Q494" s="691">
        <f>'T2 MET'!C73</f>
        <v>0</v>
      </c>
      <c r="R494" s="691">
        <f>'T2 MET'!D73</f>
        <v>0</v>
      </c>
      <c r="S494" s="691">
        <f>'T2 MET'!E73</f>
        <v>0</v>
      </c>
      <c r="T494" s="691">
        <f>'T2 MET'!F73</f>
        <v>0</v>
      </c>
    </row>
    <row r="495" spans="1:20" s="690" customFormat="1" outlineLevel="1">
      <c r="A495" s="683"/>
      <c r="B495" s="684"/>
      <c r="C495" s="677" t="s">
        <v>389</v>
      </c>
      <c r="D495" s="689"/>
      <c r="E495" s="680"/>
      <c r="F495" s="680"/>
      <c r="G495" s="680"/>
      <c r="H495" s="680"/>
      <c r="I495" s="680"/>
      <c r="J495" s="680"/>
      <c r="K495" s="680"/>
      <c r="L495" s="680"/>
      <c r="P495" s="16"/>
      <c r="Q495" s="691">
        <f>SUM('T2 MET'!C69:C72)</f>
        <v>0</v>
      </c>
      <c r="R495" s="691">
        <f>SUM('T2 MET'!D69:D72)</f>
        <v>0</v>
      </c>
      <c r="S495" s="691">
        <f>SUM('T2 MET'!E69:E72)</f>
        <v>0</v>
      </c>
      <c r="T495" s="691">
        <f>SUM('T2 MET'!F69:F72)</f>
        <v>0</v>
      </c>
    </row>
    <row r="496" spans="1:20" s="686" customFormat="1">
      <c r="A496" s="683" t="s">
        <v>366</v>
      </c>
      <c r="B496" s="684" t="s">
        <v>390</v>
      </c>
      <c r="C496" s="685" t="s">
        <v>391</v>
      </c>
      <c r="D496" s="675">
        <v>3</v>
      </c>
      <c r="E496" s="680"/>
      <c r="F496" s="680"/>
      <c r="P496" s="16"/>
      <c r="Q496" s="687" t="b">
        <f>ROUND('T2 MET'!C81,$D$496)=ROUND('T2 MET'!C12,$D$496)</f>
        <v>1</v>
      </c>
      <c r="R496" s="687" t="b">
        <f>ROUND('T2 MET'!D81,$D$496)=ROUND('T2 MET'!D12,$D$496)</f>
        <v>1</v>
      </c>
      <c r="S496" s="687" t="b">
        <f>ROUND('T2 MET'!E81,$D$496)=ROUND('T2 MET'!E12,$D$496)</f>
        <v>1</v>
      </c>
      <c r="T496" s="687" t="b">
        <f>ROUND('T2 MET'!F81,$D$496)=ROUND('T2 MET'!F12,$D$496)</f>
        <v>1</v>
      </c>
    </row>
    <row r="497" spans="1:25" s="690" customFormat="1" outlineLevel="1">
      <c r="A497" s="683"/>
      <c r="B497" s="684"/>
      <c r="C497" s="688" t="s">
        <v>392</v>
      </c>
      <c r="D497" s="689"/>
      <c r="E497" s="680"/>
      <c r="F497" s="680"/>
      <c r="P497" s="16"/>
      <c r="Q497" s="691">
        <f>ROUND('T2 MET'!C81,$D$496)</f>
        <v>16033.686</v>
      </c>
      <c r="R497" s="691">
        <f>ROUND('T2 MET'!D81,$D$496)</f>
        <v>8266.15</v>
      </c>
      <c r="S497" s="691">
        <f>ROUND('T2 MET'!E81,$D$496)</f>
        <v>8431.473</v>
      </c>
      <c r="T497" s="691">
        <f>ROUND('T2 MET'!F81,$D$496)</f>
        <v>8600.1029999999992</v>
      </c>
    </row>
    <row r="498" spans="1:25" s="690" customFormat="1" outlineLevel="1">
      <c r="A498" s="683"/>
      <c r="B498" s="684"/>
      <c r="C498" s="688" t="s">
        <v>393</v>
      </c>
      <c r="D498" s="689"/>
      <c r="E498" s="680"/>
      <c r="F498" s="680"/>
      <c r="P498" s="16"/>
      <c r="Q498" s="691">
        <f>ROUND('T2 MET'!C12,$D$496)</f>
        <v>16033.686</v>
      </c>
      <c r="R498" s="691">
        <f>ROUND('T2 MET'!D12,$D$496)</f>
        <v>8266.15</v>
      </c>
      <c r="S498" s="691">
        <f>ROUND('T2 MET'!E12,$D$496)</f>
        <v>8431.473</v>
      </c>
      <c r="T498" s="691">
        <f>ROUND('T2 MET'!F12,$D$496)</f>
        <v>8600.1029999999992</v>
      </c>
    </row>
    <row r="499" spans="1:25">
      <c r="A499" s="683" t="s">
        <v>394</v>
      </c>
      <c r="B499" s="684" t="s">
        <v>395</v>
      </c>
      <c r="C499" s="694" t="s">
        <v>396</v>
      </c>
      <c r="D499" s="675">
        <v>3</v>
      </c>
      <c r="E499" s="680"/>
      <c r="F499" s="680"/>
      <c r="G499" s="16"/>
      <c r="H499" s="16"/>
      <c r="I499" s="16"/>
      <c r="Q499" s="687" t="b">
        <f>ROUND('T2 MET'!C82,$D$499)=ROUND('T3 MET'!E17+'T3 MET'!F17,$D$499)</f>
        <v>1</v>
      </c>
      <c r="R499" s="687" t="b">
        <f>ROUND('T2 MET'!D82,$D$499)=ROUND('T3 MET'!G17,$D$499)</f>
        <v>1</v>
      </c>
      <c r="S499" s="687" t="b">
        <f>ROUND('T2 MET'!E82,$D$499)=ROUND('T3 MET'!H17,$D$499)</f>
        <v>1</v>
      </c>
      <c r="T499" s="687" t="b">
        <f>ROUND('T2 MET'!F82,$D$499)=ROUND('T3 MET'!I17,$D$499)</f>
        <v>1</v>
      </c>
      <c r="Y499" s="695"/>
    </row>
    <row r="500" spans="1:25" outlineLevel="1">
      <c r="A500" s="696"/>
      <c r="B500" s="684"/>
      <c r="C500" s="697" t="s">
        <v>397</v>
      </c>
      <c r="D500" s="698"/>
      <c r="E500" s="680"/>
      <c r="F500" s="680"/>
      <c r="G500" s="16"/>
      <c r="H500" s="16"/>
      <c r="I500" s="16"/>
      <c r="Q500" s="691">
        <f>ROUND('T2 MET'!C82,$D$499)</f>
        <v>322.916</v>
      </c>
      <c r="R500" s="691">
        <f>ROUND('T2 MET'!D82,$D$499)</f>
        <v>0</v>
      </c>
      <c r="S500" s="691">
        <f>ROUND('T2 MET'!E82,$D$499)</f>
        <v>0</v>
      </c>
      <c r="T500" s="691">
        <f>ROUND('T2 MET'!F82,$D$499)</f>
        <v>0</v>
      </c>
      <c r="Y500" s="695"/>
    </row>
    <row r="501" spans="1:25" outlineLevel="1">
      <c r="A501" s="696"/>
      <c r="B501" s="684"/>
      <c r="C501" s="697" t="s">
        <v>540</v>
      </c>
      <c r="D501" s="698"/>
      <c r="E501" s="680"/>
      <c r="F501" s="680"/>
      <c r="G501" s="16"/>
      <c r="H501" s="16"/>
      <c r="I501" s="16"/>
      <c r="Q501" s="691">
        <f>ROUND('T3 MET'!E17+'T3 MET'!F17,$D$499)</f>
        <v>322.916</v>
      </c>
      <c r="R501" s="691">
        <f>ROUND('T3 MET'!G17,$D$499)</f>
        <v>0</v>
      </c>
      <c r="S501" s="691">
        <f>ROUND('T3 MET'!H17,$D$499)</f>
        <v>0</v>
      </c>
      <c r="T501" s="691">
        <f>ROUND('T3 MET'!I17,$D$499)</f>
        <v>0</v>
      </c>
      <c r="Y501" s="695"/>
    </row>
    <row r="502" spans="1:25">
      <c r="A502" s="696" t="s">
        <v>399</v>
      </c>
      <c r="B502" s="684" t="s">
        <v>400</v>
      </c>
      <c r="C502" s="694" t="s">
        <v>401</v>
      </c>
      <c r="D502" s="675">
        <v>3</v>
      </c>
      <c r="E502" s="680"/>
      <c r="F502" s="680"/>
      <c r="G502" s="16"/>
      <c r="H502" s="16"/>
      <c r="I502" s="16"/>
      <c r="Q502" s="687" t="b">
        <f>ROUND('T2 MET'!C83,$D$502)=ROUND('T3 MET'!E28+'T3 MET'!F28,$D$502)</f>
        <v>1</v>
      </c>
      <c r="R502" s="687" t="b">
        <f>ROUND('T2 MET'!D83,$D$502)=ROUND('T3 MET'!G28,$D$502)</f>
        <v>1</v>
      </c>
      <c r="S502" s="687" t="b">
        <f>ROUND('T2 MET'!E83,$D$502)=ROUND('T3 MET'!H28,$D$502)</f>
        <v>1</v>
      </c>
      <c r="T502" s="687" t="b">
        <f>ROUND('T2 MET'!F83,$D$502)=ROUND('T3 MET'!I28,$D$502)</f>
        <v>1</v>
      </c>
      <c r="Y502" s="695"/>
    </row>
    <row r="503" spans="1:25" outlineLevel="1">
      <c r="A503" s="696"/>
      <c r="B503" s="684"/>
      <c r="C503" s="697" t="s">
        <v>397</v>
      </c>
      <c r="D503" s="698"/>
      <c r="E503" s="680"/>
      <c r="F503" s="680"/>
      <c r="G503" s="16"/>
      <c r="H503" s="16"/>
      <c r="I503" s="16"/>
      <c r="Q503" s="691">
        <f>ROUND('T2 MET'!C83,$D$502)</f>
        <v>0</v>
      </c>
      <c r="R503" s="691">
        <f>ROUND('T2 MET'!D83,$D$502)</f>
        <v>0</v>
      </c>
      <c r="S503" s="691">
        <f>ROUND('T2 MET'!E83,$D$502)</f>
        <v>0</v>
      </c>
      <c r="T503" s="691">
        <f>ROUND('T2 MET'!F83,$D$502)</f>
        <v>0</v>
      </c>
      <c r="Y503" s="695"/>
    </row>
    <row r="504" spans="1:25" outlineLevel="1">
      <c r="A504" s="696"/>
      <c r="B504" s="684"/>
      <c r="C504" s="697" t="s">
        <v>540</v>
      </c>
      <c r="D504" s="698"/>
      <c r="E504" s="680"/>
      <c r="F504" s="680"/>
      <c r="G504" s="16"/>
      <c r="H504" s="16"/>
      <c r="I504" s="16"/>
      <c r="Q504" s="691">
        <f>ROUND('T3 MET'!E28+'T3 MET'!F28,$D$502)</f>
        <v>0</v>
      </c>
      <c r="R504" s="691">
        <f>ROUND('T3 MET'!G28,$D$502)</f>
        <v>0</v>
      </c>
      <c r="S504" s="691">
        <f>ROUND('T3 MET'!H28,$D$502)</f>
        <v>0</v>
      </c>
      <c r="T504" s="691">
        <f>ROUND('T3 MET'!I28,$D$502)</f>
        <v>0</v>
      </c>
      <c r="Y504" s="695"/>
    </row>
    <row r="505" spans="1:25">
      <c r="A505" s="696" t="s">
        <v>402</v>
      </c>
      <c r="B505" s="684" t="s">
        <v>403</v>
      </c>
      <c r="C505" s="694" t="s">
        <v>404</v>
      </c>
      <c r="D505" s="675">
        <v>3</v>
      </c>
      <c r="E505" s="680"/>
      <c r="F505" s="680"/>
      <c r="G505" s="16"/>
      <c r="H505" s="16"/>
      <c r="I505" s="16"/>
      <c r="Q505" s="687" t="b">
        <f>ROUND('T2 MET'!C84,$D$505)=ROUND('T3 MET'!E35+'T3 MET'!E42+'T3 MET'!E49+'T3 MET'!E56+'T3 MET'!E63+'T3 MET'!E70+'T3 MET'!E75+'T3 MET'!F35+'T3 MET'!F42+'T3 MET'!F49+'T3 MET'!F56+'T3 MET'!F63+'T3 MET'!F70+'T3 MET'!F75,$D$505)</f>
        <v>1</v>
      </c>
      <c r="R505" s="687" t="b">
        <f>ROUND('T2 MET'!D84,$D$505)=ROUND('T3 MET'!G35+'T3 MET'!G42+'T3 MET'!G49+'T3 MET'!G56+'T3 MET'!G63+'T3 MET'!G70+'T3 MET'!G75,$D$505)</f>
        <v>1</v>
      </c>
      <c r="S505" s="687" t="b">
        <f>ROUND('T2 MET'!E84,$D$505)=ROUND('T3 MET'!H35+'T3 MET'!H42+'T3 MET'!H49+'T3 MET'!H56+'T3 MET'!H63+'T3 MET'!H70+'T3 MET'!H75,$D$505)</f>
        <v>1</v>
      </c>
      <c r="T505" s="687" t="b">
        <f>ROUND('T2 MET'!F84,$D$505)=ROUND('T3 MET'!I35+'T3 MET'!I42+'T3 MET'!I49+'T3 MET'!I56+'T3 MET'!I63+'T3 MET'!I70+'T3 MET'!I75,$D$505)</f>
        <v>1</v>
      </c>
      <c r="Y505" s="695"/>
    </row>
    <row r="506" spans="1:25" outlineLevel="1">
      <c r="A506" s="696"/>
      <c r="B506" s="684"/>
      <c r="C506" s="697" t="s">
        <v>397</v>
      </c>
      <c r="D506" s="698"/>
      <c r="E506" s="680"/>
      <c r="F506" s="680"/>
      <c r="G506" s="16"/>
      <c r="H506" s="16"/>
      <c r="I506" s="16"/>
      <c r="Q506" s="691">
        <f>ROUND('T2 MET'!C84,$D$505)</f>
        <v>0</v>
      </c>
      <c r="R506" s="691">
        <f>ROUND('T2 MET'!D84,$D$505)</f>
        <v>0</v>
      </c>
      <c r="S506" s="691">
        <f>ROUND('T2 MET'!E84,$D$505)</f>
        <v>0</v>
      </c>
      <c r="T506" s="691">
        <f>ROUND('T2 MET'!F84,$D$505)</f>
        <v>0</v>
      </c>
      <c r="Y506" s="695"/>
    </row>
    <row r="507" spans="1:25" outlineLevel="1">
      <c r="A507" s="696"/>
      <c r="B507" s="684"/>
      <c r="C507" s="697" t="s">
        <v>540</v>
      </c>
      <c r="D507" s="698"/>
      <c r="E507" s="680"/>
      <c r="F507" s="680"/>
      <c r="G507" s="16"/>
      <c r="H507" s="16"/>
      <c r="I507" s="16"/>
      <c r="Q507" s="691">
        <f>ROUND('T3 MET'!E35+'T3 MET'!E42+'T3 MET'!E49+'T3 MET'!E56+'T3 MET'!E63+'T3 MET'!E70+'T3 MET'!E75+'T3 MET'!F35+'T3 MET'!F42+'T3 MET'!F49+'T3 MET'!F56+'T3 MET'!F63+'T3 MET'!F70+'T3 MET'!F75,$D$505)</f>
        <v>0</v>
      </c>
      <c r="R507" s="691">
        <f>ROUND('T3 MET'!G35+'T3 MET'!G42+'T3 MET'!G49+'T3 MET'!G56+'T3 MET'!G63+'T3 MET'!G70+'T3 MET'!G75,$D$505)</f>
        <v>0</v>
      </c>
      <c r="S507" s="691">
        <f>ROUND('T3 MET'!H35+'T3 MET'!H42+'T3 MET'!H49+'T3 MET'!H56+'T3 MET'!H63+'T3 MET'!H70+'T3 MET'!H75,$D$505)</f>
        <v>0</v>
      </c>
      <c r="T507" s="691">
        <f>ROUND('T3 MET'!I35+'T3 MET'!I42+'T3 MET'!I49+'T3 MET'!I56+'T3 MET'!I63+'T3 MET'!I70+'T3 MET'!I75,$D$505)</f>
        <v>0</v>
      </c>
      <c r="Y507" s="695"/>
    </row>
    <row r="508" spans="1:25">
      <c r="A508" s="696" t="s">
        <v>405</v>
      </c>
      <c r="B508" s="696" t="s">
        <v>406</v>
      </c>
      <c r="C508" s="705" t="s">
        <v>407</v>
      </c>
      <c r="D508" s="675">
        <v>3</v>
      </c>
      <c r="E508" s="680"/>
      <c r="F508" s="680"/>
      <c r="G508" s="16"/>
      <c r="H508" s="16"/>
      <c r="I508" s="16"/>
      <c r="Q508" s="687" t="b">
        <f>ROUND('T2 MET'!C85,$D$508)=ROUND('T3 MET'!E86+'T3 MET'!F86,$D$508)</f>
        <v>1</v>
      </c>
      <c r="R508" s="687" t="b">
        <f>ROUND('T2 MET'!D85,$D$508)=ROUND('T3 MET'!G86,$D$508)</f>
        <v>1</v>
      </c>
      <c r="S508" s="687" t="b">
        <f>ROUND('T2 MET'!E85,$D$508)=ROUND('T3 MET'!H86,$D$508)</f>
        <v>1</v>
      </c>
      <c r="T508" s="687" t="b">
        <f>ROUND('T2 MET'!F85,$D$508)=ROUND('T3 MET'!I86,$D$508)</f>
        <v>1</v>
      </c>
      <c r="Y508" s="695"/>
    </row>
    <row r="509" spans="1:25" outlineLevel="1">
      <c r="A509" s="696"/>
      <c r="B509" s="696"/>
      <c r="C509" s="697" t="s">
        <v>397</v>
      </c>
      <c r="D509" s="698"/>
      <c r="E509" s="680"/>
      <c r="F509" s="680"/>
      <c r="G509" s="16"/>
      <c r="H509" s="16"/>
      <c r="I509" s="16"/>
      <c r="Q509" s="691">
        <f>ROUND('T2 MET'!C85,$D$508)</f>
        <v>0</v>
      </c>
      <c r="R509" s="691">
        <f>ROUND('T2 MET'!D85,$D$508)</f>
        <v>0</v>
      </c>
      <c r="S509" s="691">
        <f>ROUND('T2 MET'!E85,$D$508)</f>
        <v>0</v>
      </c>
      <c r="T509" s="691">
        <f>ROUND('T2 MET'!F85,$D$508)</f>
        <v>0</v>
      </c>
      <c r="Y509" s="695"/>
    </row>
    <row r="510" spans="1:25" outlineLevel="1">
      <c r="A510" s="696"/>
      <c r="B510" s="696"/>
      <c r="C510" s="697" t="s">
        <v>398</v>
      </c>
      <c r="D510" s="698"/>
      <c r="E510" s="680"/>
      <c r="F510" s="680"/>
      <c r="G510" s="16"/>
      <c r="H510" s="16"/>
      <c r="I510" s="16"/>
      <c r="Q510" s="691">
        <f>ROUND('T3 MET'!E86+'T3 MET'!F86,$D$508)</f>
        <v>0</v>
      </c>
      <c r="R510" s="691">
        <f>ROUND('T3 MET'!G86,$D$508)</f>
        <v>0</v>
      </c>
      <c r="S510" s="691">
        <f>ROUND('T3 MET'!H86,$D$508)</f>
        <v>0</v>
      </c>
      <c r="T510" s="691">
        <f>ROUND('T3 MET'!I86,$D$508)</f>
        <v>0</v>
      </c>
      <c r="Y510" s="695"/>
    </row>
    <row r="511" spans="1:25">
      <c r="A511" s="696" t="s">
        <v>408</v>
      </c>
      <c r="B511" s="684" t="s">
        <v>409</v>
      </c>
      <c r="C511" s="694" t="s">
        <v>410</v>
      </c>
      <c r="D511" s="675">
        <v>3</v>
      </c>
      <c r="E511" s="680"/>
      <c r="F511" s="680"/>
      <c r="G511" s="16"/>
      <c r="H511" s="16"/>
      <c r="I511" s="16"/>
      <c r="Q511" s="687" t="b">
        <f>ROUND('T2 MET'!C86,$D$511)=ROUND('T3 MET'!E97+'T3 MET'!F97,$D$511)</f>
        <v>1</v>
      </c>
      <c r="R511" s="687" t="b">
        <f>ROUND('T2 MET'!D86,$D$511)=ROUND('T3 MET'!G97,$D$511)</f>
        <v>1</v>
      </c>
      <c r="S511" s="687" t="b">
        <f>ROUND('T2 MET'!E86,$D$511)=ROUND('T3 MET'!H97,$D$511)</f>
        <v>1</v>
      </c>
      <c r="T511" s="687" t="b">
        <f>ROUND('T2 MET'!F86,$D$511)=ROUND('T3 MET'!I97,$D$511)</f>
        <v>1</v>
      </c>
      <c r="Y511" s="695"/>
    </row>
    <row r="512" spans="1:25" outlineLevel="1">
      <c r="A512" s="696"/>
      <c r="B512" s="684"/>
      <c r="C512" s="697" t="s">
        <v>397</v>
      </c>
      <c r="D512" s="698"/>
      <c r="E512" s="680"/>
      <c r="F512" s="680"/>
      <c r="G512" s="16"/>
      <c r="H512" s="16"/>
      <c r="I512" s="16"/>
      <c r="Q512" s="691">
        <f>ROUND('T2 MET'!C86,$D$511)</f>
        <v>0</v>
      </c>
      <c r="R512" s="691">
        <f>ROUND('T2 MET'!D86,$D$511)</f>
        <v>0</v>
      </c>
      <c r="S512" s="691">
        <f>ROUND('T2 MET'!E86,$D$511)</f>
        <v>0</v>
      </c>
      <c r="T512" s="691">
        <f>ROUND('T2 MET'!F86,$D$511)</f>
        <v>0</v>
      </c>
      <c r="Y512" s="695"/>
    </row>
    <row r="513" spans="1:25" outlineLevel="1">
      <c r="A513" s="696"/>
      <c r="B513" s="684"/>
      <c r="C513" s="697" t="s">
        <v>540</v>
      </c>
      <c r="D513" s="698"/>
      <c r="E513" s="680"/>
      <c r="F513" s="680"/>
      <c r="G513" s="16"/>
      <c r="H513" s="16"/>
      <c r="I513" s="16"/>
      <c r="Q513" s="691">
        <f>ROUND('T3 MET'!E97+'T3 MET'!F97,$D$511)</f>
        <v>0</v>
      </c>
      <c r="R513" s="691">
        <f>ROUND('T3 MET'!G97,$D$511)</f>
        <v>0</v>
      </c>
      <c r="S513" s="691">
        <f>ROUND('T3 MET'!H97,$D$511)</f>
        <v>0</v>
      </c>
      <c r="T513" s="691">
        <f>ROUND('T3 MET'!I97,$D$511)</f>
        <v>0</v>
      </c>
      <c r="Y513" s="695"/>
    </row>
    <row r="514" spans="1:25">
      <c r="A514" s="696" t="s">
        <v>411</v>
      </c>
      <c r="B514" s="684" t="s">
        <v>412</v>
      </c>
      <c r="C514" s="694" t="s">
        <v>413</v>
      </c>
      <c r="D514" s="675">
        <v>3</v>
      </c>
      <c r="E514" s="680"/>
      <c r="F514" s="680"/>
      <c r="G514" s="16"/>
      <c r="H514" s="16"/>
      <c r="I514" s="16"/>
      <c r="Q514" s="687" t="b">
        <f>ROUND('T2 MET'!C87,$D$514)=ROUND('T3 MET'!E114+'T3 MET'!F114,$D$514)</f>
        <v>1</v>
      </c>
      <c r="R514" s="687" t="b">
        <f>ROUND('T2 MET'!D87,$D$514)=ROUND('T3 MET'!G114,$D$514)</f>
        <v>1</v>
      </c>
      <c r="S514" s="687" t="b">
        <f>ROUND('T2 MET'!E87,$D$514)=ROUND('T3 MET'!H114,$D$514)</f>
        <v>1</v>
      </c>
      <c r="T514" s="687" t="b">
        <f>ROUND('T2 MET'!F87,$D$514)=ROUND('T3 MET'!I114,$D$514)</f>
        <v>1</v>
      </c>
    </row>
    <row r="515" spans="1:25" outlineLevel="1">
      <c r="A515" s="696"/>
      <c r="B515" s="684"/>
      <c r="C515" s="697" t="s">
        <v>397</v>
      </c>
      <c r="D515" s="698"/>
      <c r="E515" s="680"/>
      <c r="F515" s="680"/>
      <c r="G515" s="16"/>
      <c r="H515" s="16"/>
      <c r="I515" s="16"/>
      <c r="Q515" s="691">
        <f>ROUND('T2 MET'!C87,$D$514)</f>
        <v>1686.672</v>
      </c>
      <c r="R515" s="691">
        <f>ROUND('T2 MET'!D87,$D$514)</f>
        <v>458.04700000000003</v>
      </c>
      <c r="S515" s="691">
        <f>ROUND('T2 MET'!E87,$D$514)</f>
        <v>525.67999999999995</v>
      </c>
      <c r="T515" s="691">
        <f>ROUND('T2 MET'!F87,$D$514)</f>
        <v>0</v>
      </c>
    </row>
    <row r="516" spans="1:25" outlineLevel="1">
      <c r="A516" s="696"/>
      <c r="B516" s="684"/>
      <c r="C516" s="697" t="s">
        <v>540</v>
      </c>
      <c r="D516" s="698"/>
      <c r="E516" s="680"/>
      <c r="F516" s="680"/>
      <c r="G516" s="16"/>
      <c r="H516" s="16"/>
      <c r="I516" s="16"/>
      <c r="Q516" s="691">
        <f>ROUND('T3 MET'!E114+'T3 MET'!F114,$D$514)</f>
        <v>1686.672</v>
      </c>
      <c r="R516" s="691">
        <f>ROUND('T3 MET'!G114,$D$514)</f>
        <v>458.04700000000003</v>
      </c>
      <c r="S516" s="691">
        <f>ROUND('T3 MET'!H114,$D$514)</f>
        <v>525.67999999999995</v>
      </c>
      <c r="T516" s="691">
        <f>ROUND('T3 MET'!I114,$D$514)</f>
        <v>0</v>
      </c>
    </row>
    <row r="517" spans="1:25">
      <c r="A517" s="696" t="s">
        <v>414</v>
      </c>
      <c r="B517" s="684" t="s">
        <v>415</v>
      </c>
      <c r="C517" s="694" t="s">
        <v>416</v>
      </c>
      <c r="D517" s="675">
        <v>3</v>
      </c>
      <c r="E517" s="680"/>
      <c r="F517" s="680"/>
      <c r="G517" s="16"/>
      <c r="H517" s="16"/>
      <c r="I517" s="16"/>
      <c r="Q517" s="687" t="b">
        <f>ROUND('T2 MET'!C88,$D$517)=ROUND('T3 MET'!E125+'T3 MET'!E136+'T3 MET'!E147+'T3 MET'!E158+'T3 MET'!F125+'T3 MET'!F136+'T3 MET'!F147+'T3 MET'!F158,$D$517)</f>
        <v>1</v>
      </c>
      <c r="R517" s="687" t="b">
        <f>ROUND('T2 MET'!D88,$D$517)=ROUND('T3 MET'!G125+'T3 MET'!G136+'T3 MET'!G147+'T3 MET'!G158,$D$517)</f>
        <v>1</v>
      </c>
      <c r="S517" s="687" t="b">
        <f>ROUND('T2 MET'!E88,$D$517)=ROUND('T3 MET'!H125+'T3 MET'!H136+'T3 MET'!H147+'T3 MET'!H158,$D$517)</f>
        <v>1</v>
      </c>
      <c r="T517" s="687" t="b">
        <f>ROUND('T2 MET'!F88,$D$517)=ROUND('T3 MET'!I125+'T3 MET'!I136+'T3 MET'!I147+'T3 MET'!I158,$D$517)</f>
        <v>1</v>
      </c>
    </row>
    <row r="518" spans="1:25" outlineLevel="1">
      <c r="A518" s="696"/>
      <c r="B518" s="684"/>
      <c r="C518" s="697" t="s">
        <v>397</v>
      </c>
      <c r="D518" s="698"/>
      <c r="E518" s="680"/>
      <c r="F518" s="680"/>
      <c r="G518" s="16"/>
      <c r="H518" s="16"/>
      <c r="I518" s="16"/>
      <c r="Q518" s="691">
        <f>ROUND('T2 MET'!C88,$D$517)</f>
        <v>0</v>
      </c>
      <c r="R518" s="691">
        <f>ROUND('T2 MET'!D88,$D$517)</f>
        <v>0</v>
      </c>
      <c r="S518" s="691">
        <f>ROUND('T2 MET'!E88,$D$517)</f>
        <v>0</v>
      </c>
      <c r="T518" s="691">
        <f>ROUND('T2 MET'!F88,$D$517)</f>
        <v>0</v>
      </c>
    </row>
    <row r="519" spans="1:25" outlineLevel="1">
      <c r="A519" s="696"/>
      <c r="B519" s="684"/>
      <c r="C519" s="697" t="s">
        <v>540</v>
      </c>
      <c r="D519" s="698"/>
      <c r="E519" s="680"/>
      <c r="F519" s="680"/>
      <c r="G519" s="16"/>
      <c r="H519" s="16"/>
      <c r="I519" s="16"/>
      <c r="Q519" s="691">
        <f>ROUND('T3 MET'!E125+'T3 MET'!E136+'T3 MET'!E147+'T3 MET'!E158+'T3 MET'!F125+'T3 MET'!F136+'T3 MET'!F147+'T3 MET'!F158,$D$517)</f>
        <v>0</v>
      </c>
      <c r="R519" s="691">
        <f>ROUND('T3 MET'!G125+'T3 MET'!G136+'T3 MET'!G147+'T3 MET'!G158,$D$517)</f>
        <v>0</v>
      </c>
      <c r="S519" s="691">
        <f>ROUND('T3 MET'!H125+'T3 MET'!H136+'T3 MET'!H147+'T3 MET'!H158,$D$517)</f>
        <v>0</v>
      </c>
      <c r="T519" s="691">
        <f>ROUND('T3 MET'!I125+'T3 MET'!I136+'T3 MET'!I147+'T3 MET'!I158,$D$517)</f>
        <v>0</v>
      </c>
    </row>
    <row r="520" spans="1:25">
      <c r="A520" s="696" t="s">
        <v>417</v>
      </c>
      <c r="B520" s="684" t="s">
        <v>418</v>
      </c>
      <c r="C520" s="694" t="s">
        <v>419</v>
      </c>
      <c r="D520" s="675">
        <v>3</v>
      </c>
      <c r="E520" s="680"/>
      <c r="F520" s="680"/>
      <c r="G520" s="16"/>
      <c r="H520" s="16"/>
      <c r="I520" s="16"/>
      <c r="Q520" s="687" t="b">
        <f>ROUND('T2 MET'!C89,$D$520)=ROUND('T3 MET'!E172+'T3 MET'!F172,$D$520)</f>
        <v>1</v>
      </c>
      <c r="R520" s="687" t="b">
        <f>ROUND('T2 MET'!D89,$D$520)=ROUND('T3 MET'!G172,$D$520)</f>
        <v>1</v>
      </c>
      <c r="S520" s="687" t="b">
        <f>ROUND('T2 MET'!E89,$D$520)=ROUND('T3 MET'!H172,$D$520)</f>
        <v>1</v>
      </c>
      <c r="T520" s="687" t="b">
        <f>ROUND('T2 MET'!F89,$D$520)=ROUND('T3 MET'!I172,$D$520)</f>
        <v>1</v>
      </c>
    </row>
    <row r="521" spans="1:25" outlineLevel="1">
      <c r="A521" s="696"/>
      <c r="B521" s="684"/>
      <c r="C521" s="697" t="s">
        <v>397</v>
      </c>
      <c r="D521" s="698"/>
      <c r="E521" s="680"/>
      <c r="F521" s="680"/>
      <c r="G521" s="16"/>
      <c r="H521" s="16"/>
      <c r="I521" s="16"/>
      <c r="Q521" s="691">
        <f>ROUND('T2 MET'!C89,$D$520)</f>
        <v>0</v>
      </c>
      <c r="R521" s="691">
        <f>ROUND('T2 MET'!D89,$D$520)</f>
        <v>0</v>
      </c>
      <c r="S521" s="691">
        <f>ROUND('T2 MET'!E89,$D$520)</f>
        <v>0</v>
      </c>
      <c r="T521" s="691">
        <f>ROUND('T2 MET'!F89,$D$520)</f>
        <v>0</v>
      </c>
    </row>
    <row r="522" spans="1:25" outlineLevel="1">
      <c r="A522" s="696"/>
      <c r="B522" s="684"/>
      <c r="C522" s="697" t="s">
        <v>540</v>
      </c>
      <c r="D522" s="698"/>
      <c r="E522" s="680"/>
      <c r="F522" s="680"/>
      <c r="G522" s="16"/>
      <c r="H522" s="16"/>
      <c r="I522" s="16"/>
      <c r="Q522" s="691">
        <f>ROUND('T3 MET'!E172+'T3 MET'!F172,$D$520)</f>
        <v>0</v>
      </c>
      <c r="R522" s="691">
        <f>ROUND('T3 MET'!G172,$D$520)</f>
        <v>0</v>
      </c>
      <c r="S522" s="691">
        <f>ROUND('T3 MET'!H172,$D$520)</f>
        <v>0</v>
      </c>
      <c r="T522" s="691">
        <f>ROUND('T3 MET'!I172,$D$520)</f>
        <v>0</v>
      </c>
    </row>
    <row r="523" spans="1:25">
      <c r="A523" s="696" t="s">
        <v>420</v>
      </c>
      <c r="B523" s="684" t="s">
        <v>421</v>
      </c>
      <c r="C523" s="694" t="s">
        <v>422</v>
      </c>
      <c r="D523" s="675">
        <v>3</v>
      </c>
      <c r="E523" s="680"/>
      <c r="F523" s="680"/>
      <c r="G523" s="16"/>
      <c r="H523" s="16"/>
      <c r="I523" s="16"/>
      <c r="Q523" s="687" t="b">
        <f>ROUND('T2 MET'!C90,$D$523)=ROUND('T3 MET'!E165+'T3 MET'!F165,$D$523)</f>
        <v>1</v>
      </c>
      <c r="R523" s="687" t="b">
        <f>ROUND('T2 MET'!D90,$D$523)=ROUND('T3 MET'!G165,$D$523)</f>
        <v>1</v>
      </c>
      <c r="S523" s="687" t="b">
        <f>ROUND('T2 MET'!E90,$D$523)=ROUND('T3 MET'!H165,$D$523)</f>
        <v>1</v>
      </c>
      <c r="T523" s="687" t="b">
        <f>ROUND('T2 MET'!F90,$D$523)=ROUND('T3 MET'!I165,$D$523)</f>
        <v>1</v>
      </c>
    </row>
    <row r="524" spans="1:25" outlineLevel="1">
      <c r="A524" s="696"/>
      <c r="B524" s="684"/>
      <c r="C524" s="697" t="s">
        <v>397</v>
      </c>
      <c r="D524" s="698"/>
      <c r="E524" s="680"/>
      <c r="F524" s="680"/>
      <c r="G524" s="16"/>
      <c r="H524" s="16"/>
      <c r="I524" s="16"/>
      <c r="Q524" s="691">
        <f>ROUND('T2 MET'!C90,$D$523)</f>
        <v>0</v>
      </c>
      <c r="R524" s="691">
        <f>ROUND('T2 MET'!D90,$D$523)</f>
        <v>0</v>
      </c>
      <c r="S524" s="691">
        <f>ROUND('T2 MET'!E90,$D$523)</f>
        <v>0</v>
      </c>
      <c r="T524" s="691">
        <f>ROUND('T2 MET'!F90,$D$523)</f>
        <v>0</v>
      </c>
    </row>
    <row r="525" spans="1:25" outlineLevel="1">
      <c r="A525" s="696"/>
      <c r="B525" s="684"/>
      <c r="C525" s="697" t="s">
        <v>540</v>
      </c>
      <c r="D525" s="698"/>
      <c r="E525" s="680"/>
      <c r="F525" s="680"/>
      <c r="G525" s="16"/>
      <c r="H525" s="16"/>
      <c r="I525" s="16"/>
      <c r="Q525" s="691">
        <f>ROUND('T3 MET'!E165+'T3 MET'!F165,$D$523)</f>
        <v>0</v>
      </c>
      <c r="R525" s="691">
        <f>ROUND('T3 MET'!G165,$D$523)</f>
        <v>0</v>
      </c>
      <c r="S525" s="691">
        <f>ROUND('T3 MET'!H165,$D$523)</f>
        <v>0</v>
      </c>
      <c r="T525" s="691">
        <f>ROUND('T3 MET'!I165,$D$523)</f>
        <v>0</v>
      </c>
    </row>
    <row r="526" spans="1:25" s="699" customFormat="1">
      <c r="A526" s="683" t="s">
        <v>423</v>
      </c>
      <c r="B526" s="684" t="s">
        <v>424</v>
      </c>
      <c r="C526" s="694" t="s">
        <v>425</v>
      </c>
      <c r="D526" s="675">
        <v>3</v>
      </c>
      <c r="E526" s="680"/>
      <c r="F526" s="680"/>
      <c r="P526" s="16"/>
      <c r="Q526" s="687" t="b">
        <f>ROUND(SUM('T2 MET'!C82:C90),$D$526)=ROUND('T3 MET'!E175+'T3 MET'!F175,$D$526)</f>
        <v>1</v>
      </c>
      <c r="R526" s="687" t="b">
        <f>ROUND(SUM('T2 MET'!D82:D90),$D$526)=ROUND('T3 MET'!G175,$D$526)</f>
        <v>1</v>
      </c>
      <c r="S526" s="687" t="b">
        <f>ROUND(SUM('T2 MET'!E82:E90),$D$526)=ROUND('T3 MET'!H175,$D$526)</f>
        <v>1</v>
      </c>
      <c r="T526" s="687" t="b">
        <f>ROUND(SUM('T2 MET'!F82:F90),$D$526)=ROUND('T3 MET'!I175,$D$526)</f>
        <v>1</v>
      </c>
      <c r="W526" s="680"/>
      <c r="X526" s="680"/>
      <c r="Y526" s="680"/>
    </row>
    <row r="527" spans="1:25" outlineLevel="1">
      <c r="A527" s="684"/>
      <c r="B527" s="684"/>
      <c r="C527" s="697" t="s">
        <v>426</v>
      </c>
      <c r="D527" s="698"/>
      <c r="E527" s="680"/>
      <c r="F527" s="680"/>
      <c r="G527" s="16"/>
      <c r="H527" s="16"/>
      <c r="I527" s="16"/>
      <c r="Q527" s="691">
        <f>ROUND(SUM('T2 MET'!C82:C90),$D$526)</f>
        <v>2009.588</v>
      </c>
      <c r="R527" s="691">
        <f>ROUND(SUM('T2 MET'!D82:D90),$D$526)</f>
        <v>458.04700000000003</v>
      </c>
      <c r="S527" s="691">
        <f>ROUND(SUM('T2 MET'!E82:E90),$D$526)</f>
        <v>525.67999999999995</v>
      </c>
      <c r="T527" s="691">
        <f>ROUND(SUM('T2 MET'!F82:F90),$D$526)</f>
        <v>0</v>
      </c>
      <c r="W527" s="680"/>
      <c r="X527" s="680"/>
      <c r="Y527" s="680"/>
    </row>
    <row r="528" spans="1:25" outlineLevel="1">
      <c r="A528" s="684"/>
      <c r="B528" s="684"/>
      <c r="C528" s="697" t="s">
        <v>541</v>
      </c>
      <c r="D528" s="698"/>
      <c r="E528" s="680"/>
      <c r="F528" s="680"/>
      <c r="G528" s="16"/>
      <c r="H528" s="16"/>
      <c r="I528" s="16"/>
      <c r="Q528" s="691">
        <f>ROUND('T3 MET'!E175+'T3 MET'!F175,$D$526)</f>
        <v>2009.588</v>
      </c>
      <c r="R528" s="691">
        <f>ROUND('T3 MET'!G175,$D$526)</f>
        <v>458.04700000000003</v>
      </c>
      <c r="S528" s="691">
        <f>ROUND('T3 MET'!H175,$D$526)</f>
        <v>525.67999999999995</v>
      </c>
      <c r="T528" s="691">
        <f>ROUND('T3 MET'!I175,$D$526)</f>
        <v>0</v>
      </c>
      <c r="W528" s="680"/>
      <c r="X528" s="680"/>
      <c r="Y528" s="680"/>
    </row>
    <row r="529" spans="1:20" s="686" customFormat="1">
      <c r="A529" s="683" t="s">
        <v>427</v>
      </c>
      <c r="B529" s="684" t="s">
        <v>428</v>
      </c>
      <c r="C529" s="685" t="s">
        <v>429</v>
      </c>
      <c r="D529" s="675">
        <v>3</v>
      </c>
      <c r="E529" s="680"/>
      <c r="F529" s="680"/>
      <c r="P529" s="16"/>
      <c r="Q529" s="687" t="b">
        <f>ROUND('T2 MET'!C91,$D$529)=ROUND(SUM('T2 MET'!C81:C90),$D$529)</f>
        <v>1</v>
      </c>
      <c r="R529" s="687" t="b">
        <f>ROUND('T2 MET'!D91,$D$529)=ROUND(SUM('T2 MET'!D81:D90),$D$529)</f>
        <v>1</v>
      </c>
      <c r="S529" s="687" t="b">
        <f>ROUND('T2 MET'!E91,$D$529)=ROUND(SUM('T2 MET'!E81:E90),$D$529)</f>
        <v>1</v>
      </c>
      <c r="T529" s="687" t="b">
        <f>ROUND('T2 MET'!F91,$D$529)=ROUND(SUM('T2 MET'!F81:F90),$D$529)</f>
        <v>1</v>
      </c>
    </row>
    <row r="530" spans="1:20" s="690" customFormat="1" outlineLevel="1">
      <c r="A530" s="683"/>
      <c r="B530" s="684"/>
      <c r="C530" s="692" t="s">
        <v>430</v>
      </c>
      <c r="D530" s="689"/>
      <c r="E530" s="680"/>
      <c r="F530" s="680"/>
      <c r="P530" s="16"/>
      <c r="Q530" s="691">
        <f>ROUND('T2 MET'!C91,$D$529)</f>
        <v>18043.274000000001</v>
      </c>
      <c r="R530" s="691">
        <f>ROUND('T2 MET'!D91,$D$529)</f>
        <v>8724.1970000000001</v>
      </c>
      <c r="S530" s="691">
        <f>ROUND('T2 MET'!E91,$D$529)</f>
        <v>8957.1530000000002</v>
      </c>
      <c r="T530" s="691">
        <f>ROUND('T2 MET'!F91,$D$529)</f>
        <v>8600.1029999999992</v>
      </c>
    </row>
    <row r="531" spans="1:20" s="690" customFormat="1" outlineLevel="1">
      <c r="A531" s="683"/>
      <c r="B531" s="684"/>
      <c r="C531" s="677" t="s">
        <v>431</v>
      </c>
      <c r="D531" s="689"/>
      <c r="E531" s="680"/>
      <c r="F531" s="680"/>
      <c r="P531" s="16"/>
      <c r="Q531" s="691">
        <f>ROUND(SUM('T2 MET'!C81:C90),$D$529)</f>
        <v>18043.274000000001</v>
      </c>
      <c r="R531" s="691">
        <f>ROUND(SUM('T2 MET'!D81:D90),$D$529)</f>
        <v>8724.1970000000001</v>
      </c>
      <c r="S531" s="691">
        <f>ROUND(SUM('T2 MET'!E81:E90),$D$529)</f>
        <v>8957.1530000000002</v>
      </c>
      <c r="T531" s="691">
        <f>ROUND(SUM('T2 MET'!F81:F90),$D$529)</f>
        <v>8600.1029999999992</v>
      </c>
    </row>
    <row r="532" spans="1:20" s="686" customFormat="1">
      <c r="A532" s="683" t="s">
        <v>432</v>
      </c>
      <c r="B532" s="684" t="s">
        <v>433</v>
      </c>
      <c r="C532" s="685" t="s">
        <v>434</v>
      </c>
      <c r="D532" s="675">
        <v>3</v>
      </c>
      <c r="E532" s="680"/>
      <c r="F532" s="680"/>
      <c r="P532" s="16"/>
      <c r="Q532" s="687" t="b">
        <f>ROUND('T2 MET'!C92,$D$532)=ROUND('T2 MET'!C38,$D$532)</f>
        <v>1</v>
      </c>
      <c r="R532" s="687" t="b">
        <f>ROUND('T2 MET'!D92,$D$532)=ROUND('T2 MET'!D38,$D$532)</f>
        <v>1</v>
      </c>
      <c r="S532" s="687" t="b">
        <f>ROUND('T2 MET'!E92,$D$532)=ROUND('T2 MET'!E38,$D$532)</f>
        <v>1</v>
      </c>
      <c r="T532" s="687" t="b">
        <f>ROUND('T2 MET'!F92,$D$532)=ROUND('T2 MET'!F38,$D$532)</f>
        <v>1</v>
      </c>
    </row>
    <row r="533" spans="1:20" s="690" customFormat="1" outlineLevel="1">
      <c r="A533" s="683"/>
      <c r="B533" s="684"/>
      <c r="C533" s="688" t="s">
        <v>435</v>
      </c>
      <c r="D533" s="689"/>
      <c r="E533" s="680"/>
      <c r="F533" s="680"/>
      <c r="P533" s="16"/>
      <c r="Q533" s="691">
        <f>ROUND('T2 MET'!C92,$D$532)</f>
        <v>273.57</v>
      </c>
      <c r="R533" s="691">
        <f>ROUND('T2 MET'!D92,$D$532)</f>
        <v>204.803</v>
      </c>
      <c r="S533" s="691">
        <f>ROUND('T2 MET'!E92,$D$532)</f>
        <v>240.423</v>
      </c>
      <c r="T533" s="691">
        <f>ROUND('T2 MET'!F92,$D$532)</f>
        <v>258.33800000000002</v>
      </c>
    </row>
    <row r="534" spans="1:20" s="690" customFormat="1" outlineLevel="1">
      <c r="A534" s="683"/>
      <c r="B534" s="684"/>
      <c r="C534" s="688" t="s">
        <v>436</v>
      </c>
      <c r="D534" s="689"/>
      <c r="E534" s="680"/>
      <c r="F534" s="680"/>
      <c r="P534" s="16"/>
      <c r="Q534" s="691">
        <f>ROUND('T2 MET'!C38,$D$532)</f>
        <v>273.57</v>
      </c>
      <c r="R534" s="691">
        <f>ROUND('T2 MET'!D38,$D$532)</f>
        <v>204.803</v>
      </c>
      <c r="S534" s="691">
        <f>ROUND('T2 MET'!E38,$D$532)</f>
        <v>240.423</v>
      </c>
      <c r="T534" s="691">
        <f>ROUND('T2 MET'!F38,$D$532)</f>
        <v>258.33800000000002</v>
      </c>
    </row>
    <row r="535" spans="1:20" s="686" customFormat="1">
      <c r="A535" s="683" t="s">
        <v>437</v>
      </c>
      <c r="B535" s="684" t="s">
        <v>438</v>
      </c>
      <c r="C535" s="685" t="s">
        <v>439</v>
      </c>
      <c r="D535" s="675">
        <v>2</v>
      </c>
      <c r="E535" s="680"/>
      <c r="F535" s="680"/>
      <c r="P535" s="16"/>
      <c r="Q535" s="700" t="b">
        <f>ROUND('T2 MET'!C93,$D$535)=ROUND('T2 MET'!C91/'T2 MET'!C92,$D$535)</f>
        <v>1</v>
      </c>
      <c r="R535" s="700" t="b">
        <f>ROUND('T2 MET'!D93,$D$535)=ROUND('T2 MET'!D91/'T2 MET'!D92,$D$535)</f>
        <v>1</v>
      </c>
      <c r="S535" s="700" t="b">
        <f>ROUND('T2 MET'!E93,$D$535)=ROUND('T2 MET'!E91/'T2 MET'!E92,$D$535)</f>
        <v>1</v>
      </c>
      <c r="T535" s="700" t="b">
        <f>ROUND('T2 MET'!F93,$D$535)=ROUND('T2 MET'!F91/'T2 MET'!F92,$D$535)</f>
        <v>1</v>
      </c>
    </row>
    <row r="536" spans="1:20" s="690" customFormat="1" outlineLevel="1">
      <c r="A536" s="683"/>
      <c r="B536" s="684"/>
      <c r="C536" s="688" t="s">
        <v>440</v>
      </c>
      <c r="D536" s="689"/>
      <c r="E536" s="680"/>
      <c r="F536" s="680"/>
      <c r="P536" s="16"/>
      <c r="Q536" s="693">
        <f>ROUND('T2 MET'!C93,$D$535)</f>
        <v>65.95</v>
      </c>
      <c r="R536" s="693">
        <f>ROUND('T2 MET'!D93,$D$535)</f>
        <v>42.6</v>
      </c>
      <c r="S536" s="693">
        <f>ROUND('T2 MET'!E93,$D$535)</f>
        <v>37.26</v>
      </c>
      <c r="T536" s="693">
        <f>ROUND('T2 MET'!F93,$D$535)</f>
        <v>33.29</v>
      </c>
    </row>
    <row r="537" spans="1:20" s="690" customFormat="1" outlineLevel="1">
      <c r="A537" s="683"/>
      <c r="B537" s="684"/>
      <c r="C537" s="677" t="s">
        <v>441</v>
      </c>
      <c r="D537" s="689"/>
      <c r="E537" s="680"/>
      <c r="F537" s="680"/>
      <c r="P537" s="16"/>
      <c r="Q537" s="693">
        <f>ROUND('T2 MET'!C91/'T2 MET'!C92,$D$535)</f>
        <v>65.95</v>
      </c>
      <c r="R537" s="693">
        <f>ROUND('T2 MET'!D91/'T2 MET'!D92,$D$535)</f>
        <v>42.6</v>
      </c>
      <c r="S537" s="693">
        <f>ROUND('T2 MET'!E91/'T2 MET'!E92,$D$535)</f>
        <v>37.26</v>
      </c>
      <c r="T537" s="693">
        <f>ROUND('T2 MET'!F91/'T2 MET'!F92,$D$535)</f>
        <v>33.29</v>
      </c>
    </row>
    <row r="538" spans="1:20" s="690" customFormat="1" outlineLevel="1">
      <c r="A538" s="683" t="s">
        <v>543</v>
      </c>
      <c r="B538" s="684" t="s">
        <v>544</v>
      </c>
      <c r="C538" s="685" t="s">
        <v>545</v>
      </c>
      <c r="D538" s="689"/>
      <c r="E538" s="680"/>
      <c r="F538" s="680"/>
      <c r="P538" s="16"/>
      <c r="Q538" s="687" t="b">
        <f>'T2 MET'!C94&lt;=0</f>
        <v>1</v>
      </c>
      <c r="R538" s="687" t="b">
        <f>'T2 MET'!D94&lt;=0</f>
        <v>1</v>
      </c>
      <c r="S538" s="687" t="b">
        <f>'T2 MET'!E94&lt;=0</f>
        <v>1</v>
      </c>
      <c r="T538" s="687" t="b">
        <f>'T2 MET'!F94&lt;=0</f>
        <v>1</v>
      </c>
    </row>
    <row r="539" spans="1:20" s="690" customFormat="1" outlineLevel="1">
      <c r="A539" s="683"/>
      <c r="B539" s="684"/>
      <c r="C539" s="688" t="s">
        <v>546</v>
      </c>
      <c r="D539" s="689"/>
      <c r="E539" s="680"/>
      <c r="F539" s="680"/>
      <c r="P539" s="16"/>
      <c r="Q539" s="691">
        <f>'T2 MET'!C94</f>
        <v>-41.518532889679129</v>
      </c>
      <c r="R539" s="691">
        <f>'T2 MET'!D94</f>
        <v>-17.277876738679968</v>
      </c>
      <c r="S539" s="691">
        <f>'T2 MET'!E94</f>
        <v>0</v>
      </c>
      <c r="T539" s="691">
        <f>'T2 MET'!F94</f>
        <v>0</v>
      </c>
    </row>
    <row r="540" spans="1:20" s="686" customFormat="1">
      <c r="A540" s="683" t="s">
        <v>442</v>
      </c>
      <c r="B540" s="684" t="s">
        <v>443</v>
      </c>
      <c r="C540" s="685" t="s">
        <v>444</v>
      </c>
      <c r="D540" s="675">
        <v>2</v>
      </c>
      <c r="E540" s="680"/>
      <c r="F540" s="680"/>
      <c r="P540" s="16"/>
      <c r="Q540" s="700" t="b">
        <f>ROUND('T2 MET'!C96,$D$540)=ROUND('T2 MET'!C93+'T2 MET'!C94,$D$540)</f>
        <v>1</v>
      </c>
      <c r="R540" s="700" t="b">
        <f>ROUND('T2 MET'!D96,$D$540)=ROUND('T2 MET'!D93+'T2 MET'!D94,$D$540)</f>
        <v>1</v>
      </c>
      <c r="S540" s="700" t="b">
        <f>ROUND('T2 MET'!E96,$D$540)=ROUND('T2 MET'!E93+'T2 MET'!E94,$D$540)</f>
        <v>1</v>
      </c>
      <c r="T540" s="700" t="b">
        <f>ROUND('T2 MET'!F96,$D$540)=ROUND('T2 MET'!F93+'T2 MET'!F94,$D$540)</f>
        <v>1</v>
      </c>
    </row>
    <row r="541" spans="1:20" s="690" customFormat="1" outlineLevel="1">
      <c r="A541" s="683"/>
      <c r="B541" s="684"/>
      <c r="C541" s="688" t="s">
        <v>445</v>
      </c>
      <c r="D541" s="689"/>
      <c r="E541" s="680"/>
      <c r="F541" s="680"/>
      <c r="P541" s="16"/>
      <c r="Q541" s="693">
        <f>ROUND('T2 MET'!C96,$D$540)</f>
        <v>24.44</v>
      </c>
      <c r="R541" s="693">
        <f>ROUND('T2 MET'!D96,$D$540)</f>
        <v>25.32</v>
      </c>
      <c r="S541" s="693">
        <f>ROUND('T2 MET'!E96,$D$540)</f>
        <v>37.26</v>
      </c>
      <c r="T541" s="693">
        <f>ROUND('T2 MET'!F96,$D$540)</f>
        <v>33.29</v>
      </c>
    </row>
    <row r="542" spans="1:20" s="690" customFormat="1" outlineLevel="1">
      <c r="A542" s="683"/>
      <c r="B542" s="684"/>
      <c r="C542" s="688" t="s">
        <v>446</v>
      </c>
      <c r="D542" s="689"/>
      <c r="E542" s="680"/>
      <c r="F542" s="680"/>
      <c r="P542" s="16"/>
      <c r="Q542" s="693">
        <f>ROUND('T2 MET'!C93+'T2 MET'!C94,$D$540)</f>
        <v>24.44</v>
      </c>
      <c r="R542" s="693">
        <f>ROUND('T2 MET'!D93+'T2 MET'!D94,$D$540)</f>
        <v>25.32</v>
      </c>
      <c r="S542" s="693">
        <f>ROUND('T2 MET'!E93+'T2 MET'!E94,$D$540)</f>
        <v>37.26</v>
      </c>
      <c r="T542" s="693">
        <f>ROUND('T2 MET'!F93+'T2 MET'!F94,$D$540)</f>
        <v>33.29</v>
      </c>
    </row>
    <row r="543" spans="1:20" s="38" customFormat="1" ht="18.75">
      <c r="A543" s="27" t="s">
        <v>13</v>
      </c>
      <c r="B543" s="28" t="s">
        <v>14</v>
      </c>
      <c r="C543" s="29" t="s">
        <v>463</v>
      </c>
      <c r="D543" s="681"/>
      <c r="E543" s="682"/>
      <c r="F543" s="682"/>
      <c r="G543" s="682"/>
      <c r="H543" s="682"/>
      <c r="I543" s="682"/>
      <c r="J543" s="682"/>
      <c r="K543" s="682"/>
      <c r="L543" s="682"/>
      <c r="M543" s="682"/>
      <c r="N543" s="682"/>
      <c r="O543" s="682"/>
      <c r="P543" s="16"/>
      <c r="Q543" s="682"/>
      <c r="R543" s="682"/>
      <c r="S543" s="682"/>
      <c r="T543" s="682"/>
    </row>
    <row r="544" spans="1:20" s="686" customFormat="1">
      <c r="A544" s="683" t="s">
        <v>361</v>
      </c>
      <c r="B544" s="684" t="s">
        <v>362</v>
      </c>
      <c r="C544" s="685" t="s">
        <v>550</v>
      </c>
      <c r="D544" s="675">
        <v>3</v>
      </c>
      <c r="E544" s="680"/>
      <c r="F544" s="680"/>
      <c r="P544" s="16"/>
      <c r="Q544" s="687" t="b">
        <f>ROUND('T2 NSA'!C12,$D$544)=ROUND('T1 NSA'!M61,$D$544)</f>
        <v>1</v>
      </c>
      <c r="R544" s="687" t="b">
        <f>ROUND('T2 NSA'!D12,$D$544)=ROUND('T1 NSA'!N61,$D$544)</f>
        <v>1</v>
      </c>
      <c r="S544" s="687" t="b">
        <f>ROUND('T2 NSA'!E12,$D$544)=ROUND('T1 NSA'!O61,$D$544)</f>
        <v>1</v>
      </c>
      <c r="T544" s="687" t="b">
        <f>ROUND('T2 NSA'!F12,$D$544)=ROUND('T1 NSA'!P61,$D$544)</f>
        <v>1</v>
      </c>
    </row>
    <row r="545" spans="1:25" s="690" customFormat="1" outlineLevel="1">
      <c r="A545" s="683"/>
      <c r="B545" s="684"/>
      <c r="C545" s="688" t="s">
        <v>364</v>
      </c>
      <c r="D545" s="689"/>
      <c r="E545" s="680"/>
      <c r="F545" s="680"/>
      <c r="P545" s="16"/>
      <c r="Q545" s="691">
        <f>ROUND('T2 NSA'!C12,$D$544)</f>
        <v>1666.866</v>
      </c>
      <c r="R545" s="691">
        <f>ROUND('T2 NSA'!D12,$D$544)</f>
        <v>859.351</v>
      </c>
      <c r="S545" s="691">
        <f>ROUND('T2 NSA'!E12,$D$544)</f>
        <v>876.53800000000001</v>
      </c>
      <c r="T545" s="691">
        <f>ROUND('T2 NSA'!F12,$D$544)</f>
        <v>894.06899999999996</v>
      </c>
    </row>
    <row r="546" spans="1:25" s="690" customFormat="1" outlineLevel="1">
      <c r="A546" s="683"/>
      <c r="B546" s="684"/>
      <c r="C546" s="688" t="s">
        <v>365</v>
      </c>
      <c r="D546" s="689"/>
      <c r="E546" s="680"/>
      <c r="F546" s="680"/>
      <c r="P546" s="16"/>
      <c r="Q546" s="691">
        <f>ROUND('T1 NSA'!M61,$D$544)</f>
        <v>1666.866</v>
      </c>
      <c r="R546" s="691">
        <f>ROUND('T1 NSA'!N61,$D$544)</f>
        <v>859.351</v>
      </c>
      <c r="S546" s="691">
        <f>ROUND('T1 NSA'!O61,$D$544)</f>
        <v>876.53800000000001</v>
      </c>
      <c r="T546" s="691">
        <f>ROUND('T1 NSA'!P61,$D$544)</f>
        <v>894.06899999999996</v>
      </c>
    </row>
    <row r="547" spans="1:25" s="686" customFormat="1">
      <c r="A547" s="701" t="s">
        <v>375</v>
      </c>
      <c r="B547" s="696" t="s">
        <v>376</v>
      </c>
      <c r="C547" s="685" t="s">
        <v>553</v>
      </c>
      <c r="D547" s="675">
        <v>3</v>
      </c>
      <c r="E547" s="680"/>
      <c r="F547" s="680"/>
      <c r="P547" s="16"/>
      <c r="Q547" s="687" t="b">
        <f>'T2 NSA'!C33=0</f>
        <v>1</v>
      </c>
      <c r="R547" s="687" t="b">
        <f>'T2 NSA'!D33=0</f>
        <v>1</v>
      </c>
      <c r="S547" s="687" t="b">
        <f>'T2 NSA'!E33=0</f>
        <v>1</v>
      </c>
      <c r="T547" s="687" t="b">
        <f>'T2 NSA'!F33=0</f>
        <v>1</v>
      </c>
    </row>
    <row r="548" spans="1:25" s="690" customFormat="1" outlineLevel="1">
      <c r="A548" s="701"/>
      <c r="B548" s="696"/>
      <c r="C548" s="688" t="s">
        <v>542</v>
      </c>
      <c r="D548" s="689"/>
      <c r="E548" s="680"/>
      <c r="F548" s="680"/>
      <c r="P548" s="16"/>
      <c r="Q548" s="691">
        <f>'T2 NSA'!C33</f>
        <v>0</v>
      </c>
      <c r="R548" s="691">
        <f>'T2 NSA'!D33</f>
        <v>0</v>
      </c>
      <c r="S548" s="691">
        <f>'T2 NSA'!E33</f>
        <v>0</v>
      </c>
      <c r="T548" s="691">
        <f>'T2 NSA'!F33</f>
        <v>0</v>
      </c>
    </row>
    <row r="549" spans="1:25" s="686" customFormat="1">
      <c r="A549" s="683" t="s">
        <v>380</v>
      </c>
      <c r="B549" s="684" t="s">
        <v>381</v>
      </c>
      <c r="C549" s="685" t="s">
        <v>554</v>
      </c>
      <c r="D549" s="675">
        <v>3</v>
      </c>
      <c r="E549" s="680"/>
      <c r="F549" s="680"/>
      <c r="K549" s="690"/>
      <c r="L549" s="690"/>
      <c r="P549" s="16"/>
      <c r="Q549" s="687" t="b">
        <f>ROUND('T2 NSA'!C38,$D$549)=ROUND('T1 NSA'!M68,$D$549)</f>
        <v>1</v>
      </c>
      <c r="R549" s="687" t="b">
        <f>ROUND('T2 NSA'!D38,$D$549)=ROUND('T1 NSA'!N68,$D$549)</f>
        <v>1</v>
      </c>
      <c r="S549" s="687" t="b">
        <f>ROUND('T2 NSA'!E38,$D$549)=ROUND('T1 NSA'!O68,$D$549)</f>
        <v>1</v>
      </c>
      <c r="T549" s="687" t="b">
        <f>ROUND('T2 NSA'!F38,$D$549)=ROUND('T1 NSA'!P68,$D$549)</f>
        <v>1</v>
      </c>
    </row>
    <row r="550" spans="1:25" s="690" customFormat="1" outlineLevel="1">
      <c r="A550" s="683"/>
      <c r="B550" s="684"/>
      <c r="C550" s="688" t="s">
        <v>383</v>
      </c>
      <c r="D550" s="689"/>
      <c r="E550" s="680"/>
      <c r="F550" s="680"/>
      <c r="P550" s="16"/>
      <c r="Q550" s="691">
        <f>ROUND('T2 NSA'!C38,$D$549)</f>
        <v>273.57</v>
      </c>
      <c r="R550" s="691">
        <f>ROUND('T2 NSA'!D38,$D$549)</f>
        <v>204.803</v>
      </c>
      <c r="S550" s="691">
        <f>ROUND('T2 NSA'!E38,$D$549)</f>
        <v>240.423</v>
      </c>
      <c r="T550" s="691">
        <f>ROUND('T2 NSA'!F38,$D$549)</f>
        <v>258.33800000000002</v>
      </c>
    </row>
    <row r="551" spans="1:25" s="690" customFormat="1" outlineLevel="1">
      <c r="A551" s="683"/>
      <c r="B551" s="684"/>
      <c r="C551" s="688" t="s">
        <v>384</v>
      </c>
      <c r="D551" s="689"/>
      <c r="E551" s="680"/>
      <c r="F551" s="680"/>
      <c r="P551" s="16"/>
      <c r="Q551" s="691">
        <f>ROUND('T1 NSA'!M68,$D$549)</f>
        <v>273.57</v>
      </c>
      <c r="R551" s="691">
        <f>ROUND('T1 NSA'!N68,$D$549)</f>
        <v>204.803</v>
      </c>
      <c r="S551" s="691">
        <f>ROUND('T1 NSA'!O68,$D$549)</f>
        <v>240.423</v>
      </c>
      <c r="T551" s="691">
        <f>ROUND('T1 NSA'!P68,$D$549)</f>
        <v>258.33800000000002</v>
      </c>
    </row>
    <row r="552" spans="1:25" s="690" customFormat="1" outlineLevel="1">
      <c r="A552" s="683" t="s">
        <v>385</v>
      </c>
      <c r="B552" s="684" t="s">
        <v>386</v>
      </c>
      <c r="C552" s="685" t="s">
        <v>387</v>
      </c>
      <c r="D552" s="675"/>
      <c r="E552" s="680"/>
      <c r="F552" s="680"/>
      <c r="G552" s="680"/>
      <c r="H552" s="680"/>
      <c r="I552" s="680"/>
      <c r="J552" s="680"/>
      <c r="K552" s="680"/>
      <c r="L552" s="680"/>
      <c r="M552" s="686"/>
      <c r="N552" s="686"/>
      <c r="O552" s="686"/>
      <c r="P552" s="16"/>
      <c r="Q552" s="687" t="b">
        <f>'T2 NSA'!C73=SUM('T2 NSA'!C69:C72)</f>
        <v>1</v>
      </c>
      <c r="R552" s="687" t="b">
        <f>'T2 NSA'!D73=SUM('T2 NSA'!D69:D72)</f>
        <v>1</v>
      </c>
      <c r="S552" s="687" t="b">
        <f>'T2 NSA'!E73=SUM('T2 NSA'!E69:E72)</f>
        <v>1</v>
      </c>
      <c r="T552" s="687" t="b">
        <f>'T2 NSA'!F73=SUM('T2 NSA'!F69:F72)</f>
        <v>1</v>
      </c>
    </row>
    <row r="553" spans="1:25" s="690" customFormat="1" outlineLevel="1">
      <c r="A553" s="683"/>
      <c r="B553" s="684"/>
      <c r="C553" s="692" t="s">
        <v>388</v>
      </c>
      <c r="D553" s="689"/>
      <c r="E553" s="680"/>
      <c r="F553" s="680"/>
      <c r="G553" s="680"/>
      <c r="H553" s="680"/>
      <c r="I553" s="680"/>
      <c r="J553" s="680"/>
      <c r="K553" s="680"/>
      <c r="L553" s="680"/>
      <c r="P553" s="16"/>
      <c r="Q553" s="691">
        <f>'T2 NSA'!C73</f>
        <v>0</v>
      </c>
      <c r="R553" s="691">
        <f>'T2 NSA'!D73</f>
        <v>0</v>
      </c>
      <c r="S553" s="691">
        <f>'T2 NSA'!E73</f>
        <v>0</v>
      </c>
      <c r="T553" s="691">
        <f>'T2 NSA'!F73</f>
        <v>0</v>
      </c>
    </row>
    <row r="554" spans="1:25" s="690" customFormat="1" outlineLevel="1">
      <c r="A554" s="683"/>
      <c r="B554" s="684"/>
      <c r="C554" s="677" t="s">
        <v>389</v>
      </c>
      <c r="D554" s="689"/>
      <c r="E554" s="680"/>
      <c r="F554" s="680"/>
      <c r="G554" s="680"/>
      <c r="H554" s="680"/>
      <c r="I554" s="680"/>
      <c r="J554" s="680"/>
      <c r="K554" s="680"/>
      <c r="L554" s="680"/>
      <c r="P554" s="16"/>
      <c r="Q554" s="691">
        <f>SUM('T2 NSA'!C69:C72)</f>
        <v>0</v>
      </c>
      <c r="R554" s="691">
        <f>SUM('T2 NSA'!D69:D72)</f>
        <v>0</v>
      </c>
      <c r="S554" s="691">
        <f>SUM('T2 NSA'!E69:E72)</f>
        <v>0</v>
      </c>
      <c r="T554" s="691">
        <f>SUM('T2 NSA'!F69:F72)</f>
        <v>0</v>
      </c>
    </row>
    <row r="555" spans="1:25" s="686" customFormat="1">
      <c r="A555" s="683" t="s">
        <v>366</v>
      </c>
      <c r="B555" s="684" t="s">
        <v>390</v>
      </c>
      <c r="C555" s="685" t="s">
        <v>391</v>
      </c>
      <c r="D555" s="675">
        <v>3</v>
      </c>
      <c r="E555" s="680"/>
      <c r="F555" s="680"/>
      <c r="P555" s="16"/>
      <c r="Q555" s="687" t="b">
        <f>ROUND('T2 NSA'!C81,$D$555)=ROUND('T2 NSA'!C12,$D$555)</f>
        <v>1</v>
      </c>
      <c r="R555" s="687" t="b">
        <f>ROUND('T2 NSA'!D81,$D$555)=ROUND('T2 NSA'!D12,$D$555)</f>
        <v>1</v>
      </c>
      <c r="S555" s="687" t="b">
        <f>ROUND('T2 NSA'!E81,$D$555)=ROUND('T2 NSA'!E12,$D$555)</f>
        <v>1</v>
      </c>
      <c r="T555" s="687" t="b">
        <f>ROUND('T2 NSA'!F81,$D$555)=ROUND('T2 NSA'!F12,$D$555)</f>
        <v>1</v>
      </c>
    </row>
    <row r="556" spans="1:25" s="690" customFormat="1" outlineLevel="1">
      <c r="A556" s="683"/>
      <c r="B556" s="684"/>
      <c r="C556" s="688" t="s">
        <v>392</v>
      </c>
      <c r="D556" s="689"/>
      <c r="E556" s="680"/>
      <c r="F556" s="680"/>
      <c r="P556" s="16"/>
      <c r="Q556" s="691">
        <f>ROUND('T2 NSA'!C81,$D$555)</f>
        <v>1666.866</v>
      </c>
      <c r="R556" s="691">
        <f>ROUND('T2 NSA'!D81,$D$555)</f>
        <v>859.351</v>
      </c>
      <c r="S556" s="691">
        <f>ROUND('T2 NSA'!E81,$D$555)</f>
        <v>876.53800000000001</v>
      </c>
      <c r="T556" s="691">
        <f>ROUND('T2 NSA'!F81,$D$555)</f>
        <v>894.06899999999996</v>
      </c>
    </row>
    <row r="557" spans="1:25" s="690" customFormat="1" outlineLevel="1">
      <c r="A557" s="683"/>
      <c r="B557" s="684"/>
      <c r="C557" s="688" t="s">
        <v>393</v>
      </c>
      <c r="D557" s="689"/>
      <c r="E557" s="680"/>
      <c r="F557" s="680"/>
      <c r="P557" s="16"/>
      <c r="Q557" s="691">
        <f>ROUND('T2 NSA'!C12,$D$555)</f>
        <v>1666.866</v>
      </c>
      <c r="R557" s="691">
        <f>ROUND('T2 NSA'!D12,$D$555)</f>
        <v>859.351</v>
      </c>
      <c r="S557" s="691">
        <f>ROUND('T2 NSA'!E12,$D$555)</f>
        <v>876.53800000000001</v>
      </c>
      <c r="T557" s="691">
        <f>ROUND('T2 NSA'!F12,$D$555)</f>
        <v>894.06899999999996</v>
      </c>
    </row>
    <row r="558" spans="1:25">
      <c r="A558" s="683" t="s">
        <v>394</v>
      </c>
      <c r="B558" s="684" t="s">
        <v>395</v>
      </c>
      <c r="C558" s="694" t="s">
        <v>396</v>
      </c>
      <c r="D558" s="675">
        <v>3</v>
      </c>
      <c r="E558" s="680"/>
      <c r="F558" s="680"/>
      <c r="G558" s="16"/>
      <c r="H558" s="16"/>
      <c r="I558" s="16"/>
      <c r="Q558" s="687" t="b">
        <f>ROUND('T2 NSA'!C82,$D$558)=ROUND('T3 NSA'!E17+'T3 NSA'!F17,$D$558)</f>
        <v>1</v>
      </c>
      <c r="R558" s="687" t="b">
        <f>ROUND('T2 NSA'!D82,$D$558)=ROUND('T3 NSA'!G17,$D$558)</f>
        <v>1</v>
      </c>
      <c r="S558" s="687" t="b">
        <f>ROUND('T2 NSA'!E82,$D$558)=ROUND('T3 NSA'!H17,$D$558)</f>
        <v>1</v>
      </c>
      <c r="T558" s="687" t="b">
        <f>ROUND('T2 NSA'!F82,$D$558)=ROUND('T3 NSA'!I17,$D$558)</f>
        <v>1</v>
      </c>
      <c r="Y558" s="695"/>
    </row>
    <row r="559" spans="1:25" outlineLevel="1">
      <c r="A559" s="696"/>
      <c r="B559" s="684"/>
      <c r="C559" s="697" t="s">
        <v>397</v>
      </c>
      <c r="D559" s="698"/>
      <c r="E559" s="680"/>
      <c r="F559" s="680"/>
      <c r="G559" s="16"/>
      <c r="H559" s="16"/>
      <c r="I559" s="16"/>
      <c r="Q559" s="691">
        <f>ROUND('T2 NSA'!C82,$D$558)</f>
        <v>56.344000000000001</v>
      </c>
      <c r="R559" s="691">
        <f>ROUND('T2 NSA'!D82,$D$558)</f>
        <v>0</v>
      </c>
      <c r="S559" s="691">
        <f>ROUND('T2 NSA'!E82,$D$558)</f>
        <v>0</v>
      </c>
      <c r="T559" s="691">
        <f>ROUND('T2 NSA'!F82,$D$558)</f>
        <v>0</v>
      </c>
      <c r="Y559" s="695"/>
    </row>
    <row r="560" spans="1:25" outlineLevel="1">
      <c r="A560" s="696"/>
      <c r="B560" s="684"/>
      <c r="C560" s="697" t="s">
        <v>540</v>
      </c>
      <c r="D560" s="698"/>
      <c r="E560" s="680"/>
      <c r="F560" s="680"/>
      <c r="G560" s="16"/>
      <c r="H560" s="16"/>
      <c r="I560" s="16"/>
      <c r="Q560" s="691">
        <f>ROUND('T3 NSA'!E17+'T3 NSA'!F17,$D$558)</f>
        <v>56.344000000000001</v>
      </c>
      <c r="R560" s="691">
        <f>ROUND('T3 NSA'!G17,$D$558)</f>
        <v>0</v>
      </c>
      <c r="S560" s="691">
        <f>ROUND('T3 NSA'!H17,$D$558)</f>
        <v>0</v>
      </c>
      <c r="T560" s="691">
        <f>ROUND('T3 NSA'!I17,$D$558)</f>
        <v>0</v>
      </c>
      <c r="Y560" s="695"/>
    </row>
    <row r="561" spans="1:25">
      <c r="A561" s="696" t="s">
        <v>399</v>
      </c>
      <c r="B561" s="684" t="s">
        <v>400</v>
      </c>
      <c r="C561" s="694" t="s">
        <v>401</v>
      </c>
      <c r="D561" s="675">
        <v>3</v>
      </c>
      <c r="E561" s="680"/>
      <c r="F561" s="680"/>
      <c r="G561" s="16"/>
      <c r="H561" s="16"/>
      <c r="I561" s="16"/>
      <c r="Q561" s="687" t="b">
        <f>ROUND('T2 NSA'!C83,$D$561)=ROUND('T3 NSA'!E28+'T3 NSA'!F28,$D$561)</f>
        <v>1</v>
      </c>
      <c r="R561" s="687" t="b">
        <f>ROUND('T2 NSA'!D83,$D$561)=ROUND('T3 NSA'!G28,$D$561)</f>
        <v>1</v>
      </c>
      <c r="S561" s="687" t="b">
        <f>ROUND('T2 NSA'!E83,$D$561)=ROUND('T3 NSA'!H28,$D$561)</f>
        <v>1</v>
      </c>
      <c r="T561" s="687" t="b">
        <f>ROUND('T2 NSA'!F83,$D$561)=ROUND('T3 NSA'!I28,$D$561)</f>
        <v>1</v>
      </c>
      <c r="Y561" s="695"/>
    </row>
    <row r="562" spans="1:25" outlineLevel="1">
      <c r="A562" s="696"/>
      <c r="B562" s="684"/>
      <c r="C562" s="697" t="s">
        <v>397</v>
      </c>
      <c r="D562" s="698"/>
      <c r="E562" s="680"/>
      <c r="F562" s="680"/>
      <c r="G562" s="16"/>
      <c r="H562" s="16"/>
      <c r="I562" s="16"/>
      <c r="Q562" s="691">
        <f>ROUND('T2 NSA'!C83,$D$561)</f>
        <v>0</v>
      </c>
      <c r="R562" s="691">
        <f>ROUND('T2 NSA'!D83,$D$561)</f>
        <v>0</v>
      </c>
      <c r="S562" s="691">
        <f>ROUND('T2 NSA'!E83,$D$561)</f>
        <v>0</v>
      </c>
      <c r="T562" s="691">
        <f>ROUND('T2 NSA'!F83,$D$561)</f>
        <v>0</v>
      </c>
      <c r="Y562" s="695"/>
    </row>
    <row r="563" spans="1:25" outlineLevel="1">
      <c r="A563" s="696"/>
      <c r="B563" s="684"/>
      <c r="C563" s="697" t="s">
        <v>540</v>
      </c>
      <c r="D563" s="698"/>
      <c r="E563" s="680"/>
      <c r="F563" s="680"/>
      <c r="G563" s="16"/>
      <c r="H563" s="16"/>
      <c r="I563" s="16"/>
      <c r="Q563" s="691">
        <f>ROUND('T3 NSA'!E28+'T3 NSA'!F28,$D$561)</f>
        <v>0</v>
      </c>
      <c r="R563" s="691">
        <f>ROUND('T3 NSA'!G28,$D$561)</f>
        <v>0</v>
      </c>
      <c r="S563" s="691">
        <f>ROUND('T3 NSA'!H28,$D$561)</f>
        <v>0</v>
      </c>
      <c r="T563" s="691">
        <f>ROUND('T3 NSA'!I28,$D$561)</f>
        <v>0</v>
      </c>
      <c r="Y563" s="695"/>
    </row>
    <row r="564" spans="1:25">
      <c r="A564" s="696" t="s">
        <v>402</v>
      </c>
      <c r="B564" s="684" t="s">
        <v>403</v>
      </c>
      <c r="C564" s="694" t="s">
        <v>404</v>
      </c>
      <c r="D564" s="675">
        <v>3</v>
      </c>
      <c r="E564" s="680"/>
      <c r="F564" s="680"/>
      <c r="G564" s="16"/>
      <c r="H564" s="16"/>
      <c r="I564" s="16"/>
      <c r="Q564" s="687" t="b">
        <f>ROUND('T2 NSA'!C84,$D$564)=ROUND('T3 NSA'!E35+'T3 NSA'!E42+'T3 NSA'!E49+'T3 NSA'!E56+'T3 NSA'!E63+'T3 NSA'!E70+'T3 NSA'!E75+'T3 NSA'!F35+'T3 NSA'!F42+'T3 NSA'!F49+'T3 NSA'!F56+'T3 NSA'!F63+'T3 NSA'!F70+'T3 NSA'!F75,$D$564)</f>
        <v>1</v>
      </c>
      <c r="R564" s="687" t="b">
        <f>ROUND('T2 NSA'!D84,$D$564)=ROUND('T3 NSA'!G35+'T3 NSA'!G42+'T3 NSA'!G49+'T3 NSA'!G56+'T3 NSA'!G63+'T3 NSA'!G70+'T3 NSA'!G75,$D$564)</f>
        <v>1</v>
      </c>
      <c r="S564" s="687" t="b">
        <f>ROUND('T2 NSA'!E84,$D$564)=ROUND('T3 NSA'!H35+'T3 NSA'!H42+'T3 NSA'!H49+'T3 NSA'!H56+'T3 NSA'!H63+'T3 NSA'!H70+'T3 NSA'!H75,$D$564)</f>
        <v>1</v>
      </c>
      <c r="T564" s="687" t="b">
        <f>ROUND('T2 NSA'!F84,$D$564)=ROUND('T3 NSA'!I35+'T3 NSA'!I42+'T3 NSA'!I49+'T3 NSA'!I56+'T3 NSA'!I63+'T3 NSA'!I70+'T3 NSA'!I75,$D$564)</f>
        <v>1</v>
      </c>
      <c r="Y564" s="695"/>
    </row>
    <row r="565" spans="1:25" outlineLevel="1">
      <c r="A565" s="696"/>
      <c r="B565" s="684"/>
      <c r="C565" s="697" t="s">
        <v>397</v>
      </c>
      <c r="D565" s="698"/>
      <c r="E565" s="680"/>
      <c r="F565" s="680"/>
      <c r="G565" s="16"/>
      <c r="H565" s="16"/>
      <c r="I565" s="16"/>
      <c r="Q565" s="691">
        <f>ROUND('T2 NSA'!C84,$D$564)</f>
        <v>0</v>
      </c>
      <c r="R565" s="691">
        <f>ROUND('T2 NSA'!D84,$D$564)</f>
        <v>0</v>
      </c>
      <c r="S565" s="691">
        <f>ROUND('T2 NSA'!E84,$D$564)</f>
        <v>0</v>
      </c>
      <c r="T565" s="691">
        <f>ROUND('T2 NSA'!F84,$D$564)</f>
        <v>0</v>
      </c>
      <c r="Y565" s="695"/>
    </row>
    <row r="566" spans="1:25" outlineLevel="1">
      <c r="A566" s="696"/>
      <c r="B566" s="684"/>
      <c r="C566" s="697" t="s">
        <v>540</v>
      </c>
      <c r="D566" s="698"/>
      <c r="E566" s="680"/>
      <c r="F566" s="680"/>
      <c r="G566" s="16"/>
      <c r="H566" s="16"/>
      <c r="I566" s="16"/>
      <c r="Q566" s="691">
        <f>ROUND('T3 NSA'!E35+'T3 NSA'!E42+'T3 NSA'!E49+'T3 NSA'!E56+'T3 NSA'!E63+'T3 NSA'!E70+'T3 NSA'!E75+'T3 NSA'!F35+'T3 NSA'!F42+'T3 NSA'!F49+'T3 NSA'!F56+'T3 NSA'!F63+'T3 NSA'!F70+'T3 NSA'!F75,$D$564)</f>
        <v>0</v>
      </c>
      <c r="R566" s="691">
        <f>ROUND('T3 NSA'!G35+'T3 NSA'!G42+'T3 NSA'!G49+'T3 NSA'!G56+'T3 NSA'!G63+'T3 NSA'!G70+'T3 NSA'!G75,$D$564)</f>
        <v>0</v>
      </c>
      <c r="S566" s="691">
        <f>ROUND('T3 NSA'!H35+'T3 NSA'!H42+'T3 NSA'!H49+'T3 NSA'!H56+'T3 NSA'!H63+'T3 NSA'!H70+'T3 NSA'!H75,$D$564)</f>
        <v>0</v>
      </c>
      <c r="T566" s="691">
        <f>ROUND('T3 NSA'!I35+'T3 NSA'!I42+'T3 NSA'!I49+'T3 NSA'!I56+'T3 NSA'!I63+'T3 NSA'!I70+'T3 NSA'!I75,$D$564)</f>
        <v>0</v>
      </c>
      <c r="Y566" s="695"/>
    </row>
    <row r="567" spans="1:25">
      <c r="A567" s="696" t="s">
        <v>405</v>
      </c>
      <c r="B567" s="684" t="s">
        <v>406</v>
      </c>
      <c r="C567" s="694" t="s">
        <v>407</v>
      </c>
      <c r="D567" s="675">
        <v>3</v>
      </c>
      <c r="E567" s="680"/>
      <c r="F567" s="680"/>
      <c r="G567" s="16"/>
      <c r="H567" s="16"/>
      <c r="I567" s="16"/>
      <c r="Q567" s="687" t="b">
        <f>ROUND('T2 NSA'!C85,$D$567)=ROUND('T3 NSA'!E86+'T3 NSA'!F86,$D$567)</f>
        <v>1</v>
      </c>
      <c r="R567" s="687" t="b">
        <f>ROUND('T2 NSA'!D85,$D$567)=ROUND('T3 NSA'!G86,$D$567)</f>
        <v>1</v>
      </c>
      <c r="S567" s="687" t="b">
        <f>ROUND('T2 NSA'!E85,$D$567)=ROUND('T3 NSA'!H86,$D$567)</f>
        <v>1</v>
      </c>
      <c r="T567" s="687" t="b">
        <f>ROUND('T2 NSA'!F85,$D$567)=ROUND('T3 NSA'!I86,$D$567)</f>
        <v>1</v>
      </c>
      <c r="Y567" s="695"/>
    </row>
    <row r="568" spans="1:25" outlineLevel="1">
      <c r="A568" s="696"/>
      <c r="B568" s="684"/>
      <c r="C568" s="697" t="s">
        <v>397</v>
      </c>
      <c r="D568" s="698"/>
      <c r="E568" s="680"/>
      <c r="F568" s="680"/>
      <c r="G568" s="16"/>
      <c r="H568" s="16"/>
      <c r="I568" s="16"/>
      <c r="Q568" s="691">
        <f>ROUND('T2 NSA'!C85,$D$567)</f>
        <v>0</v>
      </c>
      <c r="R568" s="691">
        <f>ROUND('T2 NSA'!D85,$D$567)</f>
        <v>0</v>
      </c>
      <c r="S568" s="691">
        <f>ROUND('T2 NSA'!E85,$D$567)</f>
        <v>0</v>
      </c>
      <c r="T568" s="691">
        <f>ROUND('T2 NSA'!F85,$D$567)</f>
        <v>0</v>
      </c>
      <c r="Y568" s="695"/>
    </row>
    <row r="569" spans="1:25" outlineLevel="1">
      <c r="A569" s="696"/>
      <c r="B569" s="684"/>
      <c r="C569" s="697" t="s">
        <v>540</v>
      </c>
      <c r="D569" s="698"/>
      <c r="E569" s="680"/>
      <c r="F569" s="680"/>
      <c r="G569" s="16"/>
      <c r="H569" s="16"/>
      <c r="I569" s="16"/>
      <c r="Q569" s="691">
        <f>ROUND('T3 NSA'!E86+'T3 NSA'!F86,$D$567)</f>
        <v>0</v>
      </c>
      <c r="R569" s="691">
        <f>ROUND('T3 NSA'!G86,$D$567)</f>
        <v>0</v>
      </c>
      <c r="S569" s="691">
        <f>ROUND('T3 NSA'!H86,$D$567)</f>
        <v>0</v>
      </c>
      <c r="T569" s="691">
        <f>ROUND('T3 NSA'!I86,$D$567)</f>
        <v>0</v>
      </c>
      <c r="Y569" s="695"/>
    </row>
    <row r="570" spans="1:25">
      <c r="A570" s="696" t="s">
        <v>408</v>
      </c>
      <c r="B570" s="684" t="s">
        <v>409</v>
      </c>
      <c r="C570" s="694" t="s">
        <v>410</v>
      </c>
      <c r="D570" s="675">
        <v>3</v>
      </c>
      <c r="E570" s="680"/>
      <c r="F570" s="680"/>
      <c r="G570" s="16"/>
      <c r="H570" s="16"/>
      <c r="I570" s="16"/>
      <c r="Q570" s="687" t="b">
        <f>ROUND('T2 NSA'!C86,$D$570)=ROUND('T3 NSA'!E97+'T3 NSA'!F97,$D$570)</f>
        <v>1</v>
      </c>
      <c r="R570" s="687" t="b">
        <f>ROUND('T2 NSA'!D86,$D$570)=ROUND('T3 NSA'!G97,$D$570)</f>
        <v>1</v>
      </c>
      <c r="S570" s="687" t="b">
        <f>ROUND('T2 NSA'!E86,$D$570)=ROUND('T3 NSA'!H97,$D$570)</f>
        <v>1</v>
      </c>
      <c r="T570" s="687" t="b">
        <f>ROUND('T2 NSA'!F86,$D$570)=ROUND('T3 NSA'!I97,$D$570)</f>
        <v>1</v>
      </c>
      <c r="Y570" s="695"/>
    </row>
    <row r="571" spans="1:25" outlineLevel="1">
      <c r="A571" s="696"/>
      <c r="B571" s="684"/>
      <c r="C571" s="697" t="s">
        <v>397</v>
      </c>
      <c r="D571" s="698"/>
      <c r="E571" s="680"/>
      <c r="F571" s="680"/>
      <c r="G571" s="16"/>
      <c r="H571" s="16"/>
      <c r="I571" s="16"/>
      <c r="Q571" s="691">
        <f>ROUND('T2 NSA'!C86,$D$570)</f>
        <v>0</v>
      </c>
      <c r="R571" s="691">
        <f>ROUND('T2 NSA'!D86,$D$570)</f>
        <v>0</v>
      </c>
      <c r="S571" s="691">
        <f>ROUND('T2 NSA'!E86,$D$570)</f>
        <v>0</v>
      </c>
      <c r="T571" s="691">
        <f>ROUND('T2 NSA'!F86,$D$570)</f>
        <v>0</v>
      </c>
      <c r="Y571" s="695"/>
    </row>
    <row r="572" spans="1:25" outlineLevel="1">
      <c r="A572" s="696"/>
      <c r="B572" s="684"/>
      <c r="C572" s="697" t="s">
        <v>540</v>
      </c>
      <c r="D572" s="698"/>
      <c r="E572" s="680"/>
      <c r="F572" s="680"/>
      <c r="G572" s="16"/>
      <c r="H572" s="16"/>
      <c r="I572" s="16"/>
      <c r="Q572" s="691">
        <f>ROUND('T3 NSA'!E97+'T3 NSA'!F97,$D$570)</f>
        <v>0</v>
      </c>
      <c r="R572" s="691">
        <f>ROUND('T3 NSA'!G97,$D$570)</f>
        <v>0</v>
      </c>
      <c r="S572" s="691">
        <f>ROUND('T3 NSA'!H97,$D$570)</f>
        <v>0</v>
      </c>
      <c r="T572" s="691">
        <f>ROUND('T3 NSA'!I97,$D$570)</f>
        <v>0</v>
      </c>
      <c r="Y572" s="695"/>
    </row>
    <row r="573" spans="1:25">
      <c r="A573" s="696" t="s">
        <v>411</v>
      </c>
      <c r="B573" s="684" t="s">
        <v>412</v>
      </c>
      <c r="C573" s="694" t="s">
        <v>413</v>
      </c>
      <c r="D573" s="675">
        <v>3</v>
      </c>
      <c r="E573" s="680"/>
      <c r="F573" s="680"/>
      <c r="G573" s="16"/>
      <c r="H573" s="16"/>
      <c r="I573" s="16"/>
      <c r="Q573" s="687" t="b">
        <f>ROUND('T2 NSA'!C87,$D$573)=ROUND('T3 NSA'!E114+'T3 NSA'!F114,$D$573)</f>
        <v>1</v>
      </c>
      <c r="R573" s="687" t="b">
        <f>ROUND('T2 NSA'!D87,$D$573)=ROUND('T3 NSA'!G114,$D$573)</f>
        <v>1</v>
      </c>
      <c r="S573" s="687" t="b">
        <f>ROUND('T2 NSA'!E87,$D$573)=ROUND('T3 NSA'!H114,$D$573)</f>
        <v>1</v>
      </c>
      <c r="T573" s="687" t="b">
        <f>ROUND('T2 NSA'!F87,$D$573)=ROUND('T3 NSA'!I114,$D$573)</f>
        <v>1</v>
      </c>
    </row>
    <row r="574" spans="1:25" outlineLevel="1">
      <c r="A574" s="696"/>
      <c r="B574" s="684"/>
      <c r="C574" s="697" t="s">
        <v>397</v>
      </c>
      <c r="D574" s="698"/>
      <c r="E574" s="680"/>
      <c r="F574" s="680"/>
      <c r="G574" s="16"/>
      <c r="H574" s="16"/>
      <c r="I574" s="16"/>
      <c r="Q574" s="691">
        <f>ROUND('T2 NSA'!C87,$D$573)</f>
        <v>294.50900000000001</v>
      </c>
      <c r="R574" s="691">
        <f>ROUND('T2 NSA'!D87,$D$573)</f>
        <v>80.2</v>
      </c>
      <c r="S574" s="691">
        <f>ROUND('T2 NSA'!E87,$D$573)</f>
        <v>91.555000000000007</v>
      </c>
      <c r="T574" s="691">
        <f>ROUND('T2 NSA'!F87,$D$573)</f>
        <v>0</v>
      </c>
    </row>
    <row r="575" spans="1:25" outlineLevel="1">
      <c r="A575" s="696"/>
      <c r="B575" s="684"/>
      <c r="C575" s="697" t="s">
        <v>540</v>
      </c>
      <c r="D575" s="698"/>
      <c r="E575" s="680"/>
      <c r="F575" s="680"/>
      <c r="G575" s="16"/>
      <c r="H575" s="16"/>
      <c r="I575" s="16"/>
      <c r="Q575" s="691">
        <f>ROUND('T3 NSA'!E114+'T3 NSA'!F114,$D$573)</f>
        <v>294.50900000000001</v>
      </c>
      <c r="R575" s="691">
        <f>ROUND('T3 NSA'!G114,$D$573)</f>
        <v>80.2</v>
      </c>
      <c r="S575" s="691">
        <f>ROUND('T3 NSA'!H114,$D$573)</f>
        <v>91.555000000000007</v>
      </c>
      <c r="T575" s="691">
        <f>ROUND('T3 NSA'!I114,$D$573)</f>
        <v>0</v>
      </c>
    </row>
    <row r="576" spans="1:25">
      <c r="A576" s="696" t="s">
        <v>414</v>
      </c>
      <c r="B576" s="684" t="s">
        <v>415</v>
      </c>
      <c r="C576" s="694" t="s">
        <v>416</v>
      </c>
      <c r="D576" s="675">
        <v>3</v>
      </c>
      <c r="E576" s="680"/>
      <c r="F576" s="680"/>
      <c r="G576" s="16"/>
      <c r="H576" s="16"/>
      <c r="I576" s="16"/>
      <c r="Q576" s="687" t="b">
        <f>ROUND('T2 NSA'!C88,$D$576)=ROUND('T3 NSA'!E125+'T3 NSA'!E136+'T3 NSA'!E147+'T3 NSA'!E158+'T3 NSA'!F125+'T3 NSA'!F136+'T3 NSA'!F147+'T3 NSA'!F158,$D$576)</f>
        <v>1</v>
      </c>
      <c r="R576" s="687" t="b">
        <f>ROUND('T2 NSA'!D88,$D$576)=ROUND('T3 NSA'!G125+'T3 NSA'!G136+'T3 NSA'!G147+'T3 NSA'!G158,$D$576)</f>
        <v>1</v>
      </c>
      <c r="S576" s="687" t="b">
        <f>ROUND('T2 NSA'!E88,$D$576)=ROUND('T3 NSA'!H125+'T3 NSA'!H136+'T3 NSA'!H147+'T3 NSA'!H158,$D$576)</f>
        <v>1</v>
      </c>
      <c r="T576" s="687" t="b">
        <f>ROUND('T2 NSA'!F88,$D$576)=ROUND('T3 NSA'!I125+'T3 NSA'!I136+'T3 NSA'!I147+'T3 NSA'!I158,$D$576)</f>
        <v>1</v>
      </c>
    </row>
    <row r="577" spans="1:25" outlineLevel="1">
      <c r="A577" s="696"/>
      <c r="B577" s="684"/>
      <c r="C577" s="697" t="s">
        <v>397</v>
      </c>
      <c r="D577" s="698"/>
      <c r="E577" s="680"/>
      <c r="F577" s="680"/>
      <c r="G577" s="16"/>
      <c r="H577" s="16"/>
      <c r="I577" s="16"/>
      <c r="Q577" s="691">
        <f>ROUND('T2 NSA'!C88,$D$576)</f>
        <v>0</v>
      </c>
      <c r="R577" s="691">
        <f>ROUND('T2 NSA'!D88,$D$576)</f>
        <v>0</v>
      </c>
      <c r="S577" s="691">
        <f>ROUND('T2 NSA'!E88,$D$576)</f>
        <v>0</v>
      </c>
      <c r="T577" s="691">
        <f>ROUND('T2 NSA'!F88,$D$576)</f>
        <v>0</v>
      </c>
    </row>
    <row r="578" spans="1:25" outlineLevel="1">
      <c r="A578" s="696"/>
      <c r="B578" s="684"/>
      <c r="C578" s="697" t="s">
        <v>540</v>
      </c>
      <c r="D578" s="698"/>
      <c r="E578" s="680"/>
      <c r="F578" s="680"/>
      <c r="G578" s="16"/>
      <c r="H578" s="16"/>
      <c r="I578" s="16"/>
      <c r="Q578" s="691">
        <f>ROUND('T3 NSA'!E125+'T3 NSA'!E136+'T3 NSA'!E147+'T3 NSA'!E158+'T3 NSA'!F125+'T3 NSA'!F136+'T3 NSA'!F147+'T3 NSA'!F158,$D$576)</f>
        <v>0</v>
      </c>
      <c r="R578" s="691">
        <f>ROUND('T3 NSA'!G125+'T3 NSA'!G136+'T3 NSA'!G147+'T3 NSA'!G158,$D$576)</f>
        <v>0</v>
      </c>
      <c r="S578" s="691">
        <f>ROUND('T3 NSA'!H125+'T3 NSA'!H136+'T3 NSA'!H147+'T3 NSA'!H158,$D$576)</f>
        <v>0</v>
      </c>
      <c r="T578" s="691">
        <f>ROUND('T3 NSA'!I125+'T3 NSA'!I136+'T3 NSA'!I147+'T3 NSA'!I158,$D$576)</f>
        <v>0</v>
      </c>
    </row>
    <row r="579" spans="1:25">
      <c r="A579" s="696" t="s">
        <v>417</v>
      </c>
      <c r="B579" s="684" t="s">
        <v>418</v>
      </c>
      <c r="C579" s="694" t="s">
        <v>419</v>
      </c>
      <c r="D579" s="675">
        <v>3</v>
      </c>
      <c r="E579" s="680"/>
      <c r="F579" s="680"/>
      <c r="G579" s="16"/>
      <c r="H579" s="16"/>
      <c r="I579" s="16"/>
      <c r="Q579" s="687" t="b">
        <f>ROUND('T2 NSA'!C89,$D$579)=ROUND('T3 NSA'!E172+'T3 NSA'!F172,$D$579)</f>
        <v>1</v>
      </c>
      <c r="R579" s="687" t="b">
        <f>ROUND('T2 NSA'!D89,$D$579)=ROUND('T3 NSA'!G172,$D$579)</f>
        <v>1</v>
      </c>
      <c r="S579" s="687" t="b">
        <f>ROUND('T2 NSA'!E89,$D$579)=ROUND('T3 NSA'!H172,$D$579)</f>
        <v>1</v>
      </c>
      <c r="T579" s="687" t="b">
        <f>ROUND('T2 NSA'!F89,$D$579)=ROUND('T3 NSA'!I172,$D$579)</f>
        <v>1</v>
      </c>
    </row>
    <row r="580" spans="1:25" outlineLevel="1">
      <c r="A580" s="696"/>
      <c r="B580" s="684"/>
      <c r="C580" s="697" t="s">
        <v>397</v>
      </c>
      <c r="D580" s="698"/>
      <c r="E580" s="680"/>
      <c r="F580" s="680"/>
      <c r="G580" s="16"/>
      <c r="H580" s="16"/>
      <c r="I580" s="16"/>
      <c r="Q580" s="691">
        <f>ROUND('T2 NSA'!C89,$D$579)</f>
        <v>0</v>
      </c>
      <c r="R580" s="691">
        <f>ROUND('T2 NSA'!D89,$D$579)</f>
        <v>0</v>
      </c>
      <c r="S580" s="691">
        <f>ROUND('T2 NSA'!E89,$D$579)</f>
        <v>0</v>
      </c>
      <c r="T580" s="691">
        <f>ROUND('T2 NSA'!F89,$D$579)</f>
        <v>0</v>
      </c>
    </row>
    <row r="581" spans="1:25" outlineLevel="1">
      <c r="A581" s="696"/>
      <c r="B581" s="684"/>
      <c r="C581" s="697" t="s">
        <v>540</v>
      </c>
      <c r="D581" s="698"/>
      <c r="E581" s="680"/>
      <c r="F581" s="680"/>
      <c r="G581" s="16"/>
      <c r="H581" s="16"/>
      <c r="I581" s="16"/>
      <c r="Q581" s="691">
        <f>ROUND('T3 NSA'!E172+'T3 NSA'!F172,$D$579)</f>
        <v>0</v>
      </c>
      <c r="R581" s="691">
        <f>ROUND('T3 NSA'!G172,$D$579)</f>
        <v>0</v>
      </c>
      <c r="S581" s="691">
        <f>ROUND('T3 NSA'!H172,$D$579)</f>
        <v>0</v>
      </c>
      <c r="T581" s="691">
        <f>ROUND('T3 NSA'!I172,$D$579)</f>
        <v>0</v>
      </c>
    </row>
    <row r="582" spans="1:25">
      <c r="A582" s="696" t="s">
        <v>420</v>
      </c>
      <c r="B582" s="684" t="s">
        <v>421</v>
      </c>
      <c r="C582" s="694" t="s">
        <v>422</v>
      </c>
      <c r="D582" s="675">
        <v>3</v>
      </c>
      <c r="E582" s="680"/>
      <c r="F582" s="680"/>
      <c r="G582" s="16"/>
      <c r="H582" s="16"/>
      <c r="I582" s="16"/>
      <c r="Q582" s="687" t="b">
        <f>ROUND('T2 NSA'!C90,$D$582)=ROUND('T3 NSA'!E165+'T3 NSA'!F165,$D$582)</f>
        <v>1</v>
      </c>
      <c r="R582" s="687" t="b">
        <f>ROUND('T2 NSA'!D90,$D$582)=ROUND('T3 NSA'!G165,$D$582)</f>
        <v>1</v>
      </c>
      <c r="S582" s="687" t="b">
        <f>ROUND('T2 NSA'!E90,$D$582)=ROUND('T3 NSA'!H165,$D$582)</f>
        <v>1</v>
      </c>
      <c r="T582" s="687" t="b">
        <f>ROUND('T2 NSA'!F90,$D$582)=ROUND('T3 NSA'!I165,$D$582)</f>
        <v>1</v>
      </c>
    </row>
    <row r="583" spans="1:25" outlineLevel="1">
      <c r="A583" s="696"/>
      <c r="B583" s="684"/>
      <c r="C583" s="697" t="s">
        <v>397</v>
      </c>
      <c r="D583" s="698"/>
      <c r="E583" s="680"/>
      <c r="F583" s="680"/>
      <c r="G583" s="16"/>
      <c r="H583" s="16"/>
      <c r="I583" s="16"/>
      <c r="Q583" s="691">
        <f>ROUND('T2 NSA'!C90,$D$582)</f>
        <v>0</v>
      </c>
      <c r="R583" s="691">
        <f>ROUND('T2 NSA'!D90,$D$582)</f>
        <v>0</v>
      </c>
      <c r="S583" s="691">
        <f>ROUND('T2 NSA'!E90,$D$582)</f>
        <v>0</v>
      </c>
      <c r="T583" s="691">
        <f>ROUND('T2 NSA'!F90,$D$582)</f>
        <v>0</v>
      </c>
    </row>
    <row r="584" spans="1:25" outlineLevel="1">
      <c r="A584" s="696"/>
      <c r="B584" s="684"/>
      <c r="C584" s="697" t="s">
        <v>540</v>
      </c>
      <c r="D584" s="698"/>
      <c r="E584" s="680"/>
      <c r="F584" s="680"/>
      <c r="G584" s="16"/>
      <c r="H584" s="16"/>
      <c r="I584" s="16"/>
      <c r="Q584" s="691">
        <f>ROUND('T3 NSA'!E165+'T3 NSA'!F165,$D$582)</f>
        <v>0</v>
      </c>
      <c r="R584" s="691">
        <f>ROUND('T3 NSA'!G165,$D$582)</f>
        <v>0</v>
      </c>
      <c r="S584" s="691">
        <f>ROUND('T3 NSA'!H165,$D$582)</f>
        <v>0</v>
      </c>
      <c r="T584" s="691">
        <f>ROUND('T3 NSA'!I165,$D$582)</f>
        <v>0</v>
      </c>
    </row>
    <row r="585" spans="1:25" s="699" customFormat="1">
      <c r="A585" s="683" t="s">
        <v>423</v>
      </c>
      <c r="B585" s="684" t="s">
        <v>424</v>
      </c>
      <c r="C585" s="694" t="s">
        <v>425</v>
      </c>
      <c r="D585" s="675">
        <v>3</v>
      </c>
      <c r="E585" s="680"/>
      <c r="F585" s="680"/>
      <c r="P585" s="16"/>
      <c r="Q585" s="687" t="b">
        <f>ROUND(SUM('T2 NSA'!C82:C90),$D$585)=ROUND('T3 NSA'!E175+'T3 NSA'!F175,$D$585)</f>
        <v>1</v>
      </c>
      <c r="R585" s="687" t="b">
        <f>ROUND(SUM('T2 NSA'!D82:D90),$D$585)=ROUND('T3 NSA'!G175,$D$585)</f>
        <v>1</v>
      </c>
      <c r="S585" s="687" t="b">
        <f>ROUND(SUM('T2 NSA'!E82:E90),$D$585)=ROUND('T3 NSA'!H175,$D$585)</f>
        <v>1</v>
      </c>
      <c r="T585" s="687" t="b">
        <f>ROUND(SUM('T2 NSA'!F82:F90),$D$585)=ROUND('T3 NSA'!I175,$D$585)</f>
        <v>1</v>
      </c>
      <c r="W585" s="680"/>
      <c r="X585" s="680"/>
      <c r="Y585" s="680"/>
    </row>
    <row r="586" spans="1:25" outlineLevel="1">
      <c r="A586" s="684"/>
      <c r="B586" s="684"/>
      <c r="C586" s="697" t="s">
        <v>426</v>
      </c>
      <c r="D586" s="698"/>
      <c r="E586" s="680"/>
      <c r="F586" s="680"/>
      <c r="G586" s="16"/>
      <c r="H586" s="16"/>
      <c r="I586" s="16"/>
      <c r="Q586" s="691">
        <f>ROUND(SUM('T2 NSA'!C82:C90),$D$585)</f>
        <v>350.85300000000001</v>
      </c>
      <c r="R586" s="691">
        <f>ROUND(SUM('T2 NSA'!D82:D90),$D$585)</f>
        <v>80.2</v>
      </c>
      <c r="S586" s="691">
        <f>ROUND(SUM('T2 NSA'!E82:E90),$D$585)</f>
        <v>91.555000000000007</v>
      </c>
      <c r="T586" s="691">
        <f>ROUND(SUM('T2 NSA'!F82:F90),$D$585)</f>
        <v>0</v>
      </c>
      <c r="W586" s="680"/>
      <c r="X586" s="680"/>
      <c r="Y586" s="680"/>
    </row>
    <row r="587" spans="1:25" outlineLevel="1">
      <c r="A587" s="684"/>
      <c r="B587" s="684"/>
      <c r="C587" s="697" t="s">
        <v>541</v>
      </c>
      <c r="D587" s="698"/>
      <c r="E587" s="680"/>
      <c r="F587" s="680"/>
      <c r="G587" s="16"/>
      <c r="H587" s="16"/>
      <c r="I587" s="16"/>
      <c r="Q587" s="691">
        <f>ROUND('T3 NSA'!E175+'T3 NSA'!F175,$D$585)</f>
        <v>350.85300000000001</v>
      </c>
      <c r="R587" s="691">
        <f>ROUND('T3 NSA'!G175,$D$585)</f>
        <v>80.2</v>
      </c>
      <c r="S587" s="691">
        <f>ROUND('T3 NSA'!H175,$D$585)</f>
        <v>91.555000000000007</v>
      </c>
      <c r="T587" s="691">
        <f>ROUND('T3 NSA'!I175,$D$585)</f>
        <v>0</v>
      </c>
      <c r="W587" s="680"/>
      <c r="X587" s="680"/>
      <c r="Y587" s="680"/>
    </row>
    <row r="588" spans="1:25" s="686" customFormat="1">
      <c r="A588" s="683" t="s">
        <v>427</v>
      </c>
      <c r="B588" s="684" t="s">
        <v>428</v>
      </c>
      <c r="C588" s="685" t="s">
        <v>429</v>
      </c>
      <c r="D588" s="675">
        <v>3</v>
      </c>
      <c r="E588" s="680"/>
      <c r="F588" s="680"/>
      <c r="P588" s="16"/>
      <c r="Q588" s="687" t="b">
        <f>ROUND('T2 NSA'!C91,$D$588)=ROUND(SUM('T2 NSA'!C81:C90),$D$588)</f>
        <v>1</v>
      </c>
      <c r="R588" s="687" t="b">
        <f>ROUND('T2 NSA'!D91,$D$588)=ROUND(SUM('T2 NSA'!D81:D90),$D$588)</f>
        <v>1</v>
      </c>
      <c r="S588" s="687" t="b">
        <f>ROUND('T2 NSA'!E91,$D$588)=ROUND(SUM('T2 NSA'!E81:E90),$D$588)</f>
        <v>1</v>
      </c>
      <c r="T588" s="687" t="b">
        <f>ROUND('T2 NSA'!F91,$D$588)=ROUND(SUM('T2 NSA'!F81:F90),$D$588)</f>
        <v>1</v>
      </c>
    </row>
    <row r="589" spans="1:25" s="690" customFormat="1" outlineLevel="1">
      <c r="A589" s="683"/>
      <c r="B589" s="684"/>
      <c r="C589" s="692" t="s">
        <v>430</v>
      </c>
      <c r="D589" s="689"/>
      <c r="E589" s="680"/>
      <c r="F589" s="680"/>
      <c r="P589" s="16"/>
      <c r="Q589" s="691">
        <f>ROUND('T2 NSA'!C91,$D$588)</f>
        <v>2017.7190000000001</v>
      </c>
      <c r="R589" s="691">
        <f>ROUND('T2 NSA'!D91,$D$588)</f>
        <v>939.55</v>
      </c>
      <c r="S589" s="691">
        <f>ROUND('T2 NSA'!E91,$D$588)</f>
        <v>968.09299999999996</v>
      </c>
      <c r="T589" s="691">
        <f>ROUND('T2 NSA'!F91,$D$588)</f>
        <v>894.06899999999996</v>
      </c>
    </row>
    <row r="590" spans="1:25" s="690" customFormat="1" outlineLevel="1">
      <c r="A590" s="683"/>
      <c r="B590" s="684"/>
      <c r="C590" s="677" t="s">
        <v>431</v>
      </c>
      <c r="D590" s="689"/>
      <c r="E590" s="680"/>
      <c r="F590" s="680"/>
      <c r="P590" s="16"/>
      <c r="Q590" s="691">
        <f>ROUND(SUM('T2 NSA'!C81:C90),$D$588)</f>
        <v>2017.7190000000001</v>
      </c>
      <c r="R590" s="691">
        <f>ROUND(SUM('T2 NSA'!D81:D90),$D$588)</f>
        <v>939.55</v>
      </c>
      <c r="S590" s="691">
        <f>ROUND(SUM('T2 NSA'!E81:E90),$D$588)</f>
        <v>968.09299999999996</v>
      </c>
      <c r="T590" s="691">
        <f>ROUND(SUM('T2 NSA'!F81:F90),$D$588)</f>
        <v>894.06899999999996</v>
      </c>
    </row>
    <row r="591" spans="1:25" s="686" customFormat="1">
      <c r="A591" s="683" t="s">
        <v>432</v>
      </c>
      <c r="B591" s="684" t="s">
        <v>433</v>
      </c>
      <c r="C591" s="685" t="s">
        <v>434</v>
      </c>
      <c r="D591" s="675">
        <v>3</v>
      </c>
      <c r="E591" s="680"/>
      <c r="F591" s="680"/>
      <c r="P591" s="16"/>
      <c r="Q591" s="687" t="b">
        <f>ROUND('T2 NSA'!C92,$D$591)=ROUND('T2 NSA'!C38,$D$591)</f>
        <v>1</v>
      </c>
      <c r="R591" s="687" t="b">
        <f>ROUND('T2 NSA'!D92,$D$591)=ROUND('T2 NSA'!D38,$D$591)</f>
        <v>1</v>
      </c>
      <c r="S591" s="687" t="b">
        <f>ROUND('T2 NSA'!E92,$D$591)=ROUND('T2 NSA'!E38,$D$591)</f>
        <v>1</v>
      </c>
      <c r="T591" s="687" t="b">
        <f>ROUND('T2 NSA'!F92,$D$591)=ROUND('T2 NSA'!F38,$D$591)</f>
        <v>1</v>
      </c>
    </row>
    <row r="592" spans="1:25" s="690" customFormat="1" outlineLevel="1">
      <c r="A592" s="683"/>
      <c r="B592" s="684"/>
      <c r="C592" s="688" t="s">
        <v>435</v>
      </c>
      <c r="D592" s="689"/>
      <c r="E592" s="680"/>
      <c r="F592" s="680"/>
      <c r="P592" s="16"/>
      <c r="Q592" s="691">
        <f>ROUND('T2 NSA'!C92,$D$591)</f>
        <v>273.57</v>
      </c>
      <c r="R592" s="691">
        <f>ROUND('T2 NSA'!D92,$D$591)</f>
        <v>204.803</v>
      </c>
      <c r="S592" s="691">
        <f>ROUND('T2 NSA'!E92,$D$591)</f>
        <v>240.423</v>
      </c>
      <c r="T592" s="691">
        <f>ROUND('T2 NSA'!F92,$D$591)</f>
        <v>258.33800000000002</v>
      </c>
    </row>
    <row r="593" spans="1:25" s="690" customFormat="1" outlineLevel="1">
      <c r="A593" s="683"/>
      <c r="B593" s="684"/>
      <c r="C593" s="688" t="s">
        <v>436</v>
      </c>
      <c r="D593" s="689"/>
      <c r="E593" s="680"/>
      <c r="F593" s="680"/>
      <c r="P593" s="16"/>
      <c r="Q593" s="691">
        <f>ROUND('T2 NSA'!C38,$D$591)</f>
        <v>273.57</v>
      </c>
      <c r="R593" s="691">
        <f>ROUND('T2 NSA'!D38,$D$591)</f>
        <v>204.803</v>
      </c>
      <c r="S593" s="691">
        <f>ROUND('T2 NSA'!E38,$D$591)</f>
        <v>240.423</v>
      </c>
      <c r="T593" s="691">
        <f>ROUND('T2 NSA'!F38,$D$591)</f>
        <v>258.33800000000002</v>
      </c>
    </row>
    <row r="594" spans="1:25" s="686" customFormat="1">
      <c r="A594" s="683" t="s">
        <v>437</v>
      </c>
      <c r="B594" s="684" t="s">
        <v>438</v>
      </c>
      <c r="C594" s="685" t="s">
        <v>439</v>
      </c>
      <c r="D594" s="675">
        <v>2</v>
      </c>
      <c r="E594" s="680"/>
      <c r="F594" s="680"/>
      <c r="P594" s="16"/>
      <c r="Q594" s="700" t="b">
        <f>ROUND('T2 NSA'!C93,$D$594)=ROUND('T2 NSA'!C91/'T2 NSA'!C92,$D$594)</f>
        <v>1</v>
      </c>
      <c r="R594" s="700" t="b">
        <f>ROUND('T2 NSA'!D93,$D$594)=ROUND('T2 NSA'!D91/'T2 NSA'!D92,$D$594)</f>
        <v>1</v>
      </c>
      <c r="S594" s="700" t="b">
        <f>ROUND('T2 NSA'!E93,$D$594)=ROUND('T2 NSA'!E91/'T2 NSA'!E92,$D$594)</f>
        <v>1</v>
      </c>
      <c r="T594" s="700" t="b">
        <f>ROUND('T2 NSA'!F93,$D$594)=ROUND('T2 NSA'!F91/'T2 NSA'!F92,$D$594)</f>
        <v>1</v>
      </c>
    </row>
    <row r="595" spans="1:25" s="690" customFormat="1" outlineLevel="1">
      <c r="A595" s="683"/>
      <c r="B595" s="684"/>
      <c r="C595" s="688" t="s">
        <v>440</v>
      </c>
      <c r="D595" s="689"/>
      <c r="E595" s="680"/>
      <c r="F595" s="680"/>
      <c r="P595" s="16"/>
      <c r="Q595" s="693">
        <f>ROUND('T2 NSA'!C93,$D$594)</f>
        <v>7.38</v>
      </c>
      <c r="R595" s="693">
        <f>ROUND('T2 NSA'!D93,$D$594)</f>
        <v>4.59</v>
      </c>
      <c r="S595" s="693">
        <f>ROUND('T2 NSA'!E93,$D$594)</f>
        <v>4.03</v>
      </c>
      <c r="T595" s="693">
        <f>ROUND('T2 NSA'!F93,$D$594)</f>
        <v>3.46</v>
      </c>
    </row>
    <row r="596" spans="1:25" s="690" customFormat="1" outlineLevel="1">
      <c r="A596" s="683"/>
      <c r="B596" s="684"/>
      <c r="C596" s="677" t="s">
        <v>441</v>
      </c>
      <c r="D596" s="689"/>
      <c r="E596" s="680"/>
      <c r="F596" s="680"/>
      <c r="P596" s="16"/>
      <c r="Q596" s="693">
        <f>ROUND('T2 NSA'!C91/'T2 NSA'!C92,$D$594)</f>
        <v>7.38</v>
      </c>
      <c r="R596" s="693">
        <f>ROUND('T2 NSA'!D91/'T2 NSA'!D92,$D$594)</f>
        <v>4.59</v>
      </c>
      <c r="S596" s="693">
        <f>ROUND('T2 NSA'!E91/'T2 NSA'!E92,$D$594)</f>
        <v>4.03</v>
      </c>
      <c r="T596" s="693">
        <f>ROUND('T2 NSA'!F91/'T2 NSA'!F92,$D$594)</f>
        <v>3.46</v>
      </c>
    </row>
    <row r="597" spans="1:25" s="690" customFormat="1" outlineLevel="1">
      <c r="A597" s="683" t="s">
        <v>543</v>
      </c>
      <c r="B597" s="684" t="s">
        <v>544</v>
      </c>
      <c r="C597" s="685" t="s">
        <v>545</v>
      </c>
      <c r="D597" s="689"/>
      <c r="E597" s="680"/>
      <c r="F597" s="680"/>
      <c r="P597" s="16"/>
      <c r="Q597" s="687" t="b">
        <f>'T2 NSA'!C94&lt;=0</f>
        <v>1</v>
      </c>
      <c r="R597" s="687" t="b">
        <f>'T2 NSA'!D94&lt;=0</f>
        <v>1</v>
      </c>
      <c r="S597" s="687" t="b">
        <f>'T2 NSA'!E94&lt;=0</f>
        <v>1</v>
      </c>
      <c r="T597" s="687" t="b">
        <f>'T2 NSA'!F94&lt;=0</f>
        <v>1</v>
      </c>
    </row>
    <row r="598" spans="1:25" s="690" customFormat="1" outlineLevel="1">
      <c r="A598" s="683"/>
      <c r="B598" s="684"/>
      <c r="C598" s="688" t="s">
        <v>546</v>
      </c>
      <c r="D598" s="689"/>
      <c r="E598" s="680"/>
      <c r="F598" s="680"/>
      <c r="P598" s="16"/>
      <c r="Q598" s="691">
        <f>'T2 NSA'!C94</f>
        <v>-2.4640237350903629</v>
      </c>
      <c r="R598" s="691">
        <f>'T2 NSA'!D94</f>
        <v>0</v>
      </c>
      <c r="S598" s="691">
        <f>'T2 NSA'!E94</f>
        <v>0</v>
      </c>
      <c r="T598" s="691">
        <f>'T2 NSA'!F94</f>
        <v>0</v>
      </c>
    </row>
    <row r="599" spans="1:25" s="686" customFormat="1">
      <c r="A599" s="683" t="s">
        <v>442</v>
      </c>
      <c r="B599" s="684" t="s">
        <v>443</v>
      </c>
      <c r="C599" s="685" t="s">
        <v>444</v>
      </c>
      <c r="D599" s="675">
        <v>2</v>
      </c>
      <c r="E599" s="680"/>
      <c r="F599" s="680"/>
      <c r="P599" s="16"/>
      <c r="Q599" s="700" t="b">
        <f>ROUND('T2 NSA'!C96,$D$599)=ROUND('T2 NSA'!C93+'T2 NSA'!C94,$D$599)</f>
        <v>1</v>
      </c>
      <c r="R599" s="700" t="b">
        <f>ROUND('T2 NSA'!D96,$D$599)=ROUND('T2 NSA'!D93+'T2 NSA'!D94,$D$599)</f>
        <v>1</v>
      </c>
      <c r="S599" s="700" t="b">
        <f>ROUND('T2 NSA'!E96,$D$599)=ROUND('T2 NSA'!E93+'T2 NSA'!E94,$D$599)</f>
        <v>1</v>
      </c>
      <c r="T599" s="700" t="b">
        <f>ROUND('T2 NSA'!F96,$D$599)=ROUND('T2 NSA'!F93+'T2 NSA'!F94,$D$599)</f>
        <v>1</v>
      </c>
    </row>
    <row r="600" spans="1:25" s="690" customFormat="1" outlineLevel="1">
      <c r="A600" s="683"/>
      <c r="B600" s="684"/>
      <c r="C600" s="688" t="s">
        <v>445</v>
      </c>
      <c r="D600" s="689"/>
      <c r="E600" s="680"/>
      <c r="F600" s="680"/>
      <c r="P600" s="16"/>
      <c r="Q600" s="693">
        <f>ROUND('T2 NSA'!C96,$D$599)</f>
        <v>4.91</v>
      </c>
      <c r="R600" s="693">
        <f>ROUND('T2 NSA'!D96,$D$599)</f>
        <v>4.59</v>
      </c>
      <c r="S600" s="693">
        <f>ROUND('T2 NSA'!E96,$D$599)</f>
        <v>4.03</v>
      </c>
      <c r="T600" s="693">
        <f>ROUND('T2 NSA'!F96,$D$599)</f>
        <v>3.46</v>
      </c>
    </row>
    <row r="601" spans="1:25" s="690" customFormat="1" outlineLevel="1">
      <c r="A601" s="683"/>
      <c r="B601" s="684"/>
      <c r="C601" s="688" t="s">
        <v>446</v>
      </c>
      <c r="D601" s="689"/>
      <c r="E601" s="680"/>
      <c r="F601" s="680"/>
      <c r="P601" s="16"/>
      <c r="Q601" s="693">
        <f>ROUND('T2 NSA'!C93+'T2 NSA'!C94,$D$599)</f>
        <v>4.91</v>
      </c>
      <c r="R601" s="693">
        <f>ROUND('T2 NSA'!D93+'T2 NSA'!D94,$D$599)</f>
        <v>4.59</v>
      </c>
      <c r="S601" s="693">
        <f>ROUND('T2 NSA'!E93+'T2 NSA'!E94,$D$599)</f>
        <v>4.03</v>
      </c>
      <c r="T601" s="693">
        <f>ROUND('T2 NSA'!F93+'T2 NSA'!F94,$D$599)</f>
        <v>3.46</v>
      </c>
    </row>
    <row r="602" spans="1:25" s="38" customFormat="1" ht="18.75">
      <c r="A602" s="27" t="s">
        <v>13</v>
      </c>
      <c r="B602" s="28" t="s">
        <v>14</v>
      </c>
      <c r="C602" s="29" t="s">
        <v>464</v>
      </c>
      <c r="D602" s="703"/>
      <c r="E602" s="682"/>
      <c r="F602" s="682"/>
      <c r="G602" s="682"/>
      <c r="H602" s="682"/>
      <c r="I602" s="682"/>
      <c r="J602" s="682"/>
      <c r="K602" s="682"/>
      <c r="L602" s="682"/>
      <c r="M602" s="682"/>
      <c r="N602" s="682"/>
      <c r="O602" s="682"/>
      <c r="P602" s="16"/>
      <c r="Q602" s="682"/>
      <c r="R602" s="682"/>
      <c r="S602" s="682"/>
      <c r="T602" s="682"/>
      <c r="W602" s="680"/>
      <c r="X602" s="680"/>
      <c r="Y602" s="680"/>
    </row>
    <row r="603" spans="1:25" s="699" customFormat="1">
      <c r="A603" s="683" t="s">
        <v>423</v>
      </c>
      <c r="B603" s="684" t="s">
        <v>465</v>
      </c>
      <c r="C603" s="705" t="s">
        <v>466</v>
      </c>
      <c r="D603" s="675">
        <v>3</v>
      </c>
      <c r="E603" s="680"/>
      <c r="F603" s="680"/>
      <c r="P603" s="16"/>
      <c r="Q603" s="687" t="b">
        <f>ROUND('T2'!C78-'T2'!C76,$D$603)=ROUND(SUM('T3'!D13,'T3'!D24,'T3'!D31,'T3'!D38,'T3'!D45,'T3'!D52,'T3'!D59,'T3'!D66,'T3'!D82,'T3'!D93,'T3'!D110,'T3'!D121,'T3'!D132,'T3'!D143,'T3'!D154,'T3'!D161,'T3'!D168),$D$603)</f>
        <v>1</v>
      </c>
      <c r="R603" s="687" t="b">
        <f>ROUND('T2'!D78-'T2'!D76,$D$603)=ROUND(SUM('T3'!D14,'T3'!D25,'T3'!D32,'T3'!D39,'T3'!D46,'T3'!D53,'T3'!D60,'T3'!D67,'T3'!D83,'T3'!D94,'T3'!D111,'T3'!D122,'T3'!D133,'T3'!D144,'T3'!D155,'T3'!D162,'T3'!D169),$D$603)</f>
        <v>1</v>
      </c>
      <c r="S603" s="687" t="b">
        <f>ROUND('T2'!E78-'T2'!E76,$D$603)=ROUND(SUM('T3'!D15,'T3'!D26,'T3'!D33,'T3'!D40,'T3'!D47,'T3'!D54,'T3'!D61,'T3'!D68,'T3'!D84,'T3'!D95,'T3'!D112,'T3'!D123,'T3'!D134,'T3'!D145,'T3'!D156,'T3'!D163,'T3'!D170),$D$603)</f>
        <v>1</v>
      </c>
      <c r="T603" s="687" t="b">
        <f>ROUND('T2'!F78-'T2'!F76,$D$603)=ROUND(SUM('T3'!D16,'T3'!D27,'T3'!D34,'T3'!D41,'T3'!D48,'T3'!D55,'T3'!D62,'T3'!D69,'T3'!D85,'T3'!D96,'T3'!D113,'T3'!D124,'T3'!D135,'T3'!D146,'T3'!D157,'T3'!D164,'T3'!D171),$D$603)</f>
        <v>1</v>
      </c>
      <c r="U603" s="16"/>
      <c r="W603" s="680"/>
      <c r="X603" s="680"/>
      <c r="Y603" s="680"/>
    </row>
    <row r="604" spans="1:25" outlineLevel="1">
      <c r="A604" s="684"/>
      <c r="B604" s="684"/>
      <c r="C604" s="697" t="s">
        <v>467</v>
      </c>
      <c r="D604" s="698"/>
      <c r="E604" s="680"/>
      <c r="F604" s="680"/>
      <c r="G604" s="16"/>
      <c r="H604" s="16"/>
      <c r="I604" s="16"/>
      <c r="Q604" s="66">
        <f>ROUND('T2'!C78-'T2'!C76,$D$603)</f>
        <v>373558.80900000001</v>
      </c>
      <c r="R604" s="66">
        <f>ROUND('T2'!D78-'T2'!D76,$D$603)</f>
        <v>0</v>
      </c>
      <c r="S604" s="66">
        <f>ROUND('T2'!E78-'T2'!E76,$D$603)</f>
        <v>0</v>
      </c>
      <c r="T604" s="66">
        <f>ROUND('T2'!F78-'T2'!F76,$D$603)</f>
        <v>0</v>
      </c>
      <c r="W604" s="680"/>
      <c r="X604" s="680"/>
      <c r="Y604" s="680"/>
    </row>
    <row r="605" spans="1:25" outlineLevel="1">
      <c r="A605" s="684"/>
      <c r="B605" s="684"/>
      <c r="C605" s="697" t="s">
        <v>468</v>
      </c>
      <c r="D605" s="698"/>
      <c r="E605" s="680"/>
      <c r="F605" s="680"/>
      <c r="G605" s="16"/>
      <c r="H605" s="16"/>
      <c r="I605" s="16"/>
      <c r="Q605" s="66">
        <f>ROUND(SUM('T3'!D13,'T3'!D24,'T3'!D31,'T3'!D38,'T3'!D45,'T3'!D52,'T3'!D59,'T3'!D66,'T3'!D82,'T3'!D93,'T3'!D110,'T3'!D121,'T3'!D132,'T3'!D143,'T3'!D154,'T3'!D161,'T3'!D168),$D$603)</f>
        <v>373558.80900000001</v>
      </c>
      <c r="R605" s="66">
        <f>ROUND(SUM('T3'!D14,'T3'!D25,'T3'!D32,'T3'!D39,'T3'!D46,'T3'!D53,'T3'!D60,'T3'!D67,'T3'!D83,'T3'!D94,'T3'!D111,'T3'!D122,'T3'!D133,'T3'!D144,'T3'!D155,'T3'!D162,'T3'!D169),$D$603)</f>
        <v>0</v>
      </c>
      <c r="S605" s="66">
        <f>ROUND(SUM('T3'!D15,'T3'!D26,'T3'!D33,'T3'!D40,'T3'!D47,'T3'!D54,'T3'!D61,'T3'!D68,'T3'!D84,'T3'!D95,'T3'!D112,'T3'!D123,'T3'!D134,'T3'!D145,'T3'!D156,'T3'!D163,'T3'!D170),$D$603)</f>
        <v>0</v>
      </c>
      <c r="T605" s="66">
        <f>ROUND(SUM('T3'!D16,'T3'!D27,'T3'!D34,'T3'!D41,'T3'!D48,'T3'!D55,'T3'!D62,'T3'!D69,'T3'!D85,'T3'!D96,'T3'!D113,'T3'!D124,'T3'!D135,'T3'!D146,'T3'!D157,'T3'!D164,'T3'!D171),$D$603)</f>
        <v>0</v>
      </c>
      <c r="W605" s="680"/>
      <c r="X605" s="680"/>
      <c r="Y605" s="680"/>
    </row>
    <row r="606" spans="1:25">
      <c r="A606" s="684" t="s">
        <v>394</v>
      </c>
      <c r="B606" s="684" t="s">
        <v>469</v>
      </c>
      <c r="C606" s="705" t="s">
        <v>470</v>
      </c>
      <c r="D606" s="675">
        <v>3</v>
      </c>
      <c r="E606" s="680"/>
      <c r="F606" s="680"/>
      <c r="G606" s="16"/>
      <c r="H606" s="16"/>
      <c r="I606" s="16"/>
      <c r="Q606" s="687" t="b">
        <f>ROUND('T2'!C19,$D$606)=ROUND('T3'!D13,$D$606)</f>
        <v>1</v>
      </c>
      <c r="R606" s="687" t="b">
        <f>ROUND('T2'!D19,$D$606)=ROUND('T3'!D14,$D$606)</f>
        <v>1</v>
      </c>
      <c r="S606" s="687" t="b">
        <f>ROUND('T2'!E19,$D$606)=ROUND('T3'!D15,$D$606)</f>
        <v>1</v>
      </c>
      <c r="T606" s="687" t="b">
        <f>ROUND('T2'!F19,$D$606)=ROUND('T3'!D16,$D$606)</f>
        <v>1</v>
      </c>
      <c r="Y606" s="695"/>
    </row>
    <row r="607" spans="1:25" outlineLevel="1">
      <c r="A607" s="684"/>
      <c r="B607" s="684"/>
      <c r="C607" s="697" t="s">
        <v>471</v>
      </c>
      <c r="D607" s="698"/>
      <c r="E607" s="680"/>
      <c r="F607" s="680"/>
      <c r="G607" s="16"/>
      <c r="H607" s="16"/>
      <c r="I607" s="16"/>
      <c r="Q607" s="66">
        <f>ROUND('T2'!C19,$D$606)</f>
        <v>0</v>
      </c>
      <c r="R607" s="66">
        <f>ROUND('T2'!D19,$D$606)</f>
        <v>0</v>
      </c>
      <c r="S607" s="66">
        <f>ROUND('T2'!E19,$D$606)</f>
        <v>0</v>
      </c>
      <c r="T607" s="66">
        <f>ROUND('T2'!F19,$D$606)</f>
        <v>0</v>
      </c>
      <c r="Y607" s="695"/>
    </row>
    <row r="608" spans="1:25" outlineLevel="1">
      <c r="A608" s="684"/>
      <c r="B608" s="684"/>
      <c r="C608" s="697" t="s">
        <v>472</v>
      </c>
      <c r="D608" s="698"/>
      <c r="E608" s="680"/>
      <c r="F608" s="680"/>
      <c r="G608" s="16"/>
      <c r="H608" s="16"/>
      <c r="I608" s="16"/>
      <c r="Q608" s="66">
        <f>ROUND('T3'!D13,$D$606)</f>
        <v>0</v>
      </c>
      <c r="R608" s="66">
        <f>ROUND('T3'!D14,$D$606)</f>
        <v>0</v>
      </c>
      <c r="S608" s="66">
        <f>ROUND('T3'!D15,$D$606)</f>
        <v>0</v>
      </c>
      <c r="T608" s="66">
        <f>ROUND('T3'!D16,$D$606)</f>
        <v>0</v>
      </c>
      <c r="Y608" s="695"/>
    </row>
    <row r="609" spans="1:25">
      <c r="A609" s="684" t="s">
        <v>402</v>
      </c>
      <c r="B609" s="684" t="s">
        <v>473</v>
      </c>
      <c r="C609" s="705" t="s">
        <v>474</v>
      </c>
      <c r="D609" s="675">
        <v>3</v>
      </c>
      <c r="E609" s="680"/>
      <c r="F609" s="680"/>
      <c r="G609" s="16"/>
      <c r="H609" s="16"/>
      <c r="I609" s="16"/>
      <c r="Q609" s="687" t="b">
        <f>ROUND('T2'!C28,$D$609)=ROUND('T3'!D31+'T3'!D38+'T3'!D45+'T3'!D52+'T3'!D59+'T3'!D66,$D$609)</f>
        <v>1</v>
      </c>
      <c r="R609" s="687" t="b">
        <f>ROUND('T2'!D28,$D$609)=ROUND('T3'!D32+'T3'!D39+'T3'!D46+'T3'!D53+'T3'!D60+'T3'!D67,$D$609)</f>
        <v>1</v>
      </c>
      <c r="S609" s="687" t="b">
        <f>ROUND('T2'!E28,$D$609)=ROUND('T3'!D33+'T3'!D40+'T3'!D47+'T3'!D54+'T3'!D61+'T3'!D68,$D$609)</f>
        <v>1</v>
      </c>
      <c r="T609" s="687" t="b">
        <f>ROUND('T2'!F28,$D$609)=ROUND('T3'!D34+'T3'!D41+'T3'!D48+'T3'!D55+'T3'!D62+'T3'!D69,$D$609)</f>
        <v>1</v>
      </c>
      <c r="Y609" s="695"/>
    </row>
    <row r="610" spans="1:25" outlineLevel="1">
      <c r="A610" s="684"/>
      <c r="B610" s="684"/>
      <c r="C610" s="697" t="s">
        <v>471</v>
      </c>
      <c r="D610" s="698"/>
      <c r="E610" s="680"/>
      <c r="F610" s="680"/>
      <c r="G610" s="16"/>
      <c r="H610" s="16"/>
      <c r="I610" s="16"/>
      <c r="Q610" s="66">
        <f>ROUND('T2'!C28,$D$609)</f>
        <v>0</v>
      </c>
      <c r="R610" s="66">
        <f>ROUND('T2'!D28,$D$609)</f>
        <v>0</v>
      </c>
      <c r="S610" s="66">
        <f>ROUND('T2'!E28,$D$609)</f>
        <v>0</v>
      </c>
      <c r="T610" s="66">
        <f>ROUND('T2'!F28,$D$609)</f>
        <v>0</v>
      </c>
      <c r="Y610" s="695"/>
    </row>
    <row r="611" spans="1:25" outlineLevel="1">
      <c r="A611" s="684"/>
      <c r="B611" s="684"/>
      <c r="C611" s="697" t="s">
        <v>472</v>
      </c>
      <c r="D611" s="698"/>
      <c r="E611" s="680"/>
      <c r="F611" s="680"/>
      <c r="G611" s="16"/>
      <c r="H611" s="16"/>
      <c r="I611" s="16"/>
      <c r="Q611" s="66">
        <f>ROUND('T3'!D31+'T3'!D38+'T3'!D45+'T3'!D52+'T3'!D59+'T3'!D66,$D$609)</f>
        <v>0</v>
      </c>
      <c r="R611" s="66">
        <f>ROUND('T3'!D32+'T3'!D39+'T3'!D46+'T3'!D53+'T3'!D60+'T3'!D67,$D$609)</f>
        <v>0</v>
      </c>
      <c r="S611" s="66">
        <f>ROUND('T3'!D33+'T3'!D40+'T3'!D47+'T3'!D54+'T3'!D61+'T3'!D68,$D$609)</f>
        <v>0</v>
      </c>
      <c r="T611" s="66">
        <f>ROUND('T3'!D34+'T3'!D41+'T3'!D48+'T3'!D55+'T3'!D62+'T3'!D69,$D$609)</f>
        <v>0</v>
      </c>
      <c r="Y611" s="695"/>
    </row>
    <row r="612" spans="1:25">
      <c r="A612" s="684" t="s">
        <v>399</v>
      </c>
      <c r="B612" s="684" t="s">
        <v>475</v>
      </c>
      <c r="C612" s="705" t="s">
        <v>476</v>
      </c>
      <c r="D612" s="675">
        <v>3</v>
      </c>
      <c r="E612" s="680"/>
      <c r="F612" s="680"/>
      <c r="G612" s="16"/>
      <c r="H612" s="16"/>
      <c r="I612" s="16"/>
      <c r="Q612" s="687" t="b">
        <f>ROUND('T2'!C41,$D$612)=ROUND('T3'!D24,$D$612)</f>
        <v>1</v>
      </c>
      <c r="R612" s="687" t="b">
        <f>ROUND('T2'!D41,$D$612)=ROUND('T3'!D25,$D$612)</f>
        <v>1</v>
      </c>
      <c r="S612" s="687" t="b">
        <f>ROUND('T2'!E41,$D$612)=ROUND('T3'!D26,$D$612)</f>
        <v>1</v>
      </c>
      <c r="T612" s="687" t="b">
        <f>ROUND('T2'!F41,$D$612)=ROUND('T3'!D27,$D$612)</f>
        <v>1</v>
      </c>
      <c r="Y612" s="695"/>
    </row>
    <row r="613" spans="1:25" outlineLevel="1">
      <c r="A613" s="684"/>
      <c r="B613" s="684"/>
      <c r="C613" s="697" t="s">
        <v>471</v>
      </c>
      <c r="D613" s="698"/>
      <c r="E613" s="680"/>
      <c r="F613" s="680"/>
      <c r="G613" s="16"/>
      <c r="H613" s="16"/>
      <c r="I613" s="16"/>
      <c r="Q613" s="66">
        <f>ROUND('T2'!C41,$D$612)</f>
        <v>0</v>
      </c>
      <c r="R613" s="66">
        <f>ROUND('T2'!D41,$D$612)</f>
        <v>0</v>
      </c>
      <c r="S613" s="66">
        <f>ROUND('T2'!E41,$D$612)</f>
        <v>0</v>
      </c>
      <c r="T613" s="66">
        <f>ROUND('T2'!F41,$D$612)</f>
        <v>0</v>
      </c>
      <c r="Y613" s="695"/>
    </row>
    <row r="614" spans="1:25" outlineLevel="1">
      <c r="A614" s="684"/>
      <c r="B614" s="684"/>
      <c r="C614" s="697" t="s">
        <v>472</v>
      </c>
      <c r="D614" s="698"/>
      <c r="E614" s="680"/>
      <c r="F614" s="680"/>
      <c r="G614" s="16"/>
      <c r="H614" s="16"/>
      <c r="I614" s="16"/>
      <c r="Q614" s="66">
        <f>ROUND('T3'!D24,$D$612)</f>
        <v>0</v>
      </c>
      <c r="R614" s="66">
        <f>ROUND('T3'!D25,$D$612)</f>
        <v>0</v>
      </c>
      <c r="S614" s="66">
        <f>ROUND('T3'!D26,$D$612)</f>
        <v>0</v>
      </c>
      <c r="T614" s="66">
        <f>ROUND('T3'!D27,$D$612)</f>
        <v>0</v>
      </c>
      <c r="Y614" s="695"/>
    </row>
    <row r="615" spans="1:25">
      <c r="A615" s="684" t="s">
        <v>411</v>
      </c>
      <c r="B615" s="684" t="s">
        <v>477</v>
      </c>
      <c r="C615" s="705" t="s">
        <v>478</v>
      </c>
      <c r="D615" s="675">
        <v>3</v>
      </c>
      <c r="E615" s="680"/>
      <c r="F615" s="680"/>
      <c r="G615" s="16"/>
      <c r="H615" s="16"/>
      <c r="I615" s="16"/>
      <c r="Q615" s="687" t="b">
        <f>ROUND('T2'!C46,$D$615)=ROUND('T3'!D110,$D$615)</f>
        <v>1</v>
      </c>
      <c r="R615" s="687" t="b">
        <f>ROUND('T2'!D46,$D$615)=ROUND('T3'!D111,$D$615)</f>
        <v>1</v>
      </c>
      <c r="S615" s="687" t="b">
        <f>ROUND('T2'!E46,$D$615)=ROUND('T3'!D112,$D$615)</f>
        <v>1</v>
      </c>
      <c r="T615" s="687" t="b">
        <f>ROUND('T2'!F46,$D$615)=ROUND('T3'!D113,$D$615)</f>
        <v>1</v>
      </c>
    </row>
    <row r="616" spans="1:25" outlineLevel="1">
      <c r="A616" s="684"/>
      <c r="B616" s="684"/>
      <c r="C616" s="697" t="s">
        <v>471</v>
      </c>
      <c r="D616" s="698"/>
      <c r="E616" s="680"/>
      <c r="F616" s="680"/>
      <c r="G616" s="16"/>
      <c r="H616" s="16"/>
      <c r="I616" s="16"/>
      <c r="Q616" s="66">
        <f>ROUND('T2'!C46,$D$615)</f>
        <v>0</v>
      </c>
      <c r="R616" s="66">
        <f>ROUND('T2'!D46,$D$615)</f>
        <v>0</v>
      </c>
      <c r="S616" s="66">
        <f>ROUND('T2'!E46,$D$615)</f>
        <v>0</v>
      </c>
      <c r="T616" s="66">
        <f>ROUND('T2'!F46,$D$615)</f>
        <v>0</v>
      </c>
    </row>
    <row r="617" spans="1:25" outlineLevel="1">
      <c r="A617" s="684"/>
      <c r="B617" s="684"/>
      <c r="C617" s="697" t="s">
        <v>472</v>
      </c>
      <c r="D617" s="698"/>
      <c r="E617" s="680"/>
      <c r="F617" s="680"/>
      <c r="G617" s="16"/>
      <c r="H617" s="16"/>
      <c r="I617" s="16"/>
      <c r="Q617" s="66">
        <f>ROUND('T3'!D110,$D$615)</f>
        <v>0</v>
      </c>
      <c r="R617" s="66">
        <f>ROUND('T3'!D111,$D$615)</f>
        <v>0</v>
      </c>
      <c r="S617" s="66">
        <f>ROUND('T3'!D112,$D$615)</f>
        <v>0</v>
      </c>
      <c r="T617" s="66">
        <f>ROUND('T3'!D113,$D$615)</f>
        <v>0</v>
      </c>
    </row>
    <row r="618" spans="1:25">
      <c r="A618" s="684" t="s">
        <v>405</v>
      </c>
      <c r="B618" s="684" t="s">
        <v>479</v>
      </c>
      <c r="C618" s="705" t="s">
        <v>480</v>
      </c>
      <c r="D618" s="675">
        <v>3</v>
      </c>
      <c r="E618" s="680"/>
      <c r="F618" s="680"/>
      <c r="G618" s="16"/>
      <c r="H618" s="16"/>
      <c r="I618" s="16"/>
      <c r="Q618" s="687" t="b">
        <f>ROUND('T2'!C54,$D$618)=ROUND('T3'!D82,$D$618)</f>
        <v>1</v>
      </c>
      <c r="R618" s="687" t="b">
        <f>ROUND('T2'!D54,$D$618)=ROUND('T3'!D83,$D$618)</f>
        <v>1</v>
      </c>
      <c r="S618" s="687" t="b">
        <f>ROUND('T2'!E54,$D$618)=ROUND('T3'!D84,$D$618)</f>
        <v>1</v>
      </c>
      <c r="T618" s="687" t="b">
        <f>ROUND('T2'!F54,$D$618)=ROUND('T3'!D85,$D$618)</f>
        <v>1</v>
      </c>
      <c r="Y618" s="695"/>
    </row>
    <row r="619" spans="1:25" outlineLevel="1">
      <c r="A619" s="684"/>
      <c r="B619" s="684"/>
      <c r="C619" s="697" t="s">
        <v>471</v>
      </c>
      <c r="D619" s="698"/>
      <c r="E619" s="680"/>
      <c r="F619" s="680"/>
      <c r="G619" s="16"/>
      <c r="H619" s="16"/>
      <c r="I619" s="16"/>
      <c r="Q619" s="66">
        <f>ROUND('T2'!C54,$D$618)</f>
        <v>0</v>
      </c>
      <c r="R619" s="66">
        <f>ROUND('T2'!D54,$D$618)</f>
        <v>0</v>
      </c>
      <c r="S619" s="66">
        <f>ROUND('T2'!E54,$D$618)</f>
        <v>0</v>
      </c>
      <c r="T619" s="66">
        <f>ROUND('T2'!F54,$D$618)</f>
        <v>0</v>
      </c>
      <c r="Y619" s="695"/>
    </row>
    <row r="620" spans="1:25" outlineLevel="1">
      <c r="A620" s="684"/>
      <c r="B620" s="684"/>
      <c r="C620" s="697" t="s">
        <v>472</v>
      </c>
      <c r="D620" s="698"/>
      <c r="E620" s="680"/>
      <c r="F620" s="680"/>
      <c r="G620" s="16"/>
      <c r="H620" s="16"/>
      <c r="I620" s="16"/>
      <c r="Q620" s="66">
        <f>ROUND('T3'!D82,$D$618)</f>
        <v>0</v>
      </c>
      <c r="R620" s="66">
        <f>ROUND('T3'!D83,$D$618)</f>
        <v>0</v>
      </c>
      <c r="S620" s="66">
        <f>ROUND('T3'!D84,$D$618)</f>
        <v>0</v>
      </c>
      <c r="T620" s="66">
        <f>ROUND('T3'!D85,$D$618)</f>
        <v>0</v>
      </c>
      <c r="Y620" s="695"/>
    </row>
    <row r="621" spans="1:25">
      <c r="A621" s="684" t="s">
        <v>408</v>
      </c>
      <c r="B621" s="684" t="s">
        <v>481</v>
      </c>
      <c r="C621" s="705" t="s">
        <v>191</v>
      </c>
      <c r="D621" s="675">
        <v>3</v>
      </c>
      <c r="E621" s="680"/>
      <c r="F621" s="680"/>
      <c r="G621" s="16"/>
      <c r="H621" s="16"/>
      <c r="I621" s="16"/>
      <c r="Q621" s="687" t="b">
        <f>ROUND('T2'!C59,$D$621)=ROUND('T3'!D93,$D$621)</f>
        <v>1</v>
      </c>
      <c r="R621" s="687" t="b">
        <f>ROUND('T2'!D59,$D$621)=ROUND('T3'!D94,$D$621)</f>
        <v>1</v>
      </c>
      <c r="S621" s="687" t="b">
        <f>ROUND('T2'!E59,$D$621)=ROUND('T3'!D95,$D$621)</f>
        <v>1</v>
      </c>
      <c r="T621" s="687" t="b">
        <f>ROUND('T2'!F59,$D$621)=ROUND('T3'!D96,$D$621)</f>
        <v>1</v>
      </c>
      <c r="Y621" s="695"/>
    </row>
    <row r="622" spans="1:25" outlineLevel="1">
      <c r="A622" s="684"/>
      <c r="B622" s="684"/>
      <c r="C622" s="697" t="s">
        <v>471</v>
      </c>
      <c r="D622" s="698"/>
      <c r="E622" s="680"/>
      <c r="F622" s="680"/>
      <c r="G622" s="16"/>
      <c r="H622" s="16"/>
      <c r="I622" s="16"/>
      <c r="Q622" s="66">
        <f>ROUND('T2'!C59,$D$621)</f>
        <v>0</v>
      </c>
      <c r="R622" s="66">
        <f>ROUND('T2'!D59,$D$621)</f>
        <v>0</v>
      </c>
      <c r="S622" s="66">
        <f>ROUND('T2'!E59,$D$621)</f>
        <v>0</v>
      </c>
      <c r="T622" s="66">
        <f>ROUND('T2'!F59,$D$621)</f>
        <v>0</v>
      </c>
      <c r="Y622" s="695"/>
    </row>
    <row r="623" spans="1:25" outlineLevel="1">
      <c r="A623" s="684"/>
      <c r="B623" s="684"/>
      <c r="C623" s="697" t="s">
        <v>472</v>
      </c>
      <c r="D623" s="698"/>
      <c r="E623" s="680"/>
      <c r="F623" s="680"/>
      <c r="G623" s="16"/>
      <c r="H623" s="16"/>
      <c r="I623" s="16"/>
      <c r="Q623" s="66">
        <f>ROUND('T3'!D93,$D$621)</f>
        <v>0</v>
      </c>
      <c r="R623" s="66">
        <f>ROUND('T3'!D94,$D$621)</f>
        <v>0</v>
      </c>
      <c r="S623" s="66">
        <f>ROUND('T3'!D95,$D$621)</f>
        <v>0</v>
      </c>
      <c r="T623" s="66">
        <f>ROUND('T3'!D96,$D$621)</f>
        <v>0</v>
      </c>
      <c r="Y623" s="695"/>
    </row>
    <row r="624" spans="1:25">
      <c r="A624" s="684" t="s">
        <v>420</v>
      </c>
      <c r="B624" s="684" t="s">
        <v>482</v>
      </c>
      <c r="C624" s="705" t="s">
        <v>483</v>
      </c>
      <c r="D624" s="675">
        <v>3</v>
      </c>
      <c r="E624" s="680"/>
      <c r="F624" s="680"/>
      <c r="G624" s="16"/>
      <c r="H624" s="16"/>
      <c r="I624" s="16"/>
      <c r="Q624" s="687" t="b">
        <f>ROUND('T2'!C63,$D$624)=ROUND('T3'!D161,$D$624)</f>
        <v>1</v>
      </c>
      <c r="R624" s="687" t="b">
        <f>ROUND('T2'!D63,$D$624)=ROUND('T3'!D162,$D$624)</f>
        <v>1</v>
      </c>
      <c r="S624" s="687" t="b">
        <f>ROUND('T2'!E63,$D$624)=ROUND('T3'!D163,$D$624)</f>
        <v>1</v>
      </c>
      <c r="T624" s="687" t="b">
        <f>ROUND('T2'!F63,$D$624)=ROUND('T3'!D164,$D$624)</f>
        <v>1</v>
      </c>
    </row>
    <row r="625" spans="1:25" outlineLevel="1">
      <c r="A625" s="684"/>
      <c r="B625" s="684"/>
      <c r="C625" s="697" t="s">
        <v>471</v>
      </c>
      <c r="D625" s="698"/>
      <c r="E625" s="680"/>
      <c r="F625" s="680"/>
      <c r="G625" s="16"/>
      <c r="H625" s="16"/>
      <c r="I625" s="16"/>
      <c r="Q625" s="66">
        <f>ROUND('T2'!C63,$D$624)</f>
        <v>373558.80900000001</v>
      </c>
      <c r="R625" s="66">
        <f>ROUND('T2'!D63,$D$624)</f>
        <v>0</v>
      </c>
      <c r="S625" s="66">
        <f>ROUND('T2'!E63,$D$624)</f>
        <v>0</v>
      </c>
      <c r="T625" s="66">
        <f>ROUND('T2'!F63,$D$624)</f>
        <v>0</v>
      </c>
    </row>
    <row r="626" spans="1:25" outlineLevel="1">
      <c r="A626" s="684"/>
      <c r="B626" s="684"/>
      <c r="C626" s="697" t="s">
        <v>472</v>
      </c>
      <c r="D626" s="698"/>
      <c r="E626" s="680"/>
      <c r="F626" s="680"/>
      <c r="G626" s="16"/>
      <c r="H626" s="16"/>
      <c r="I626" s="16"/>
      <c r="Q626" s="66">
        <f>ROUND('T3'!D161,$D$624)</f>
        <v>373558.80900000001</v>
      </c>
      <c r="R626" s="66">
        <f>ROUND('T3'!D162,$D$624)</f>
        <v>0</v>
      </c>
      <c r="S626" s="66">
        <f>ROUND('T3'!D163,$D$624)</f>
        <v>0</v>
      </c>
      <c r="T626" s="66">
        <f>ROUND('T3'!D164,$D$624)</f>
        <v>0</v>
      </c>
    </row>
    <row r="627" spans="1:25">
      <c r="A627" s="684" t="s">
        <v>484</v>
      </c>
      <c r="B627" s="684" t="s">
        <v>485</v>
      </c>
      <c r="C627" s="705" t="s">
        <v>486</v>
      </c>
      <c r="D627" s="675">
        <v>3</v>
      </c>
      <c r="E627" s="680"/>
      <c r="F627" s="680"/>
      <c r="G627" s="16"/>
      <c r="H627" s="16"/>
      <c r="I627" s="16"/>
      <c r="Q627" s="687" t="b">
        <f>ROUND('T2'!C66,$D$627)=ROUND('T3'!D168,$D$627)</f>
        <v>1</v>
      </c>
      <c r="R627" s="687" t="b">
        <f>ROUND('T2'!D66,$D$627)=ROUND('T3'!D169,$D$627)</f>
        <v>1</v>
      </c>
      <c r="S627" s="687" t="b">
        <f>ROUND('T2'!E66,$D$627)=ROUND('T3'!D170,$D$627)</f>
        <v>1</v>
      </c>
      <c r="T627" s="687" t="b">
        <f>ROUND('T2'!F66,$D$627)=ROUND('T3'!D171,$D$627)</f>
        <v>1</v>
      </c>
    </row>
    <row r="628" spans="1:25" outlineLevel="1">
      <c r="A628" s="684"/>
      <c r="B628" s="684"/>
      <c r="C628" s="697" t="s">
        <v>471</v>
      </c>
      <c r="D628" s="698"/>
      <c r="E628" s="680"/>
      <c r="F628" s="680"/>
      <c r="G628" s="16"/>
      <c r="H628" s="16"/>
      <c r="I628" s="16"/>
      <c r="Q628" s="66">
        <f>ROUND('T2'!C66,$D$627)</f>
        <v>0</v>
      </c>
      <c r="R628" s="66">
        <f>ROUND('T2'!D66,$D$627)</f>
        <v>0</v>
      </c>
      <c r="S628" s="66">
        <f>ROUND('T2'!E66,$D$627)</f>
        <v>0</v>
      </c>
      <c r="T628" s="66">
        <f>ROUND('T2'!F66,$D$627)</f>
        <v>0</v>
      </c>
    </row>
    <row r="629" spans="1:25" outlineLevel="1">
      <c r="A629" s="684"/>
      <c r="B629" s="684"/>
      <c r="C629" s="697" t="s">
        <v>472</v>
      </c>
      <c r="D629" s="698"/>
      <c r="E629" s="680"/>
      <c r="F629" s="680"/>
      <c r="G629" s="16"/>
      <c r="H629" s="16"/>
      <c r="I629" s="16"/>
      <c r="Q629" s="66">
        <f>ROUND('T3'!D168,$D$627)</f>
        <v>0</v>
      </c>
      <c r="R629" s="66">
        <f>ROUND('T3'!D169,$D$627)</f>
        <v>0</v>
      </c>
      <c r="S629" s="66">
        <f>ROUND('T3'!D170,$D$627)</f>
        <v>0</v>
      </c>
      <c r="T629" s="66">
        <f>ROUND('T3'!D171,$D$627)</f>
        <v>0</v>
      </c>
    </row>
    <row r="630" spans="1:25">
      <c r="A630" s="684" t="s">
        <v>487</v>
      </c>
      <c r="B630" s="684" t="s">
        <v>495</v>
      </c>
      <c r="C630" s="705" t="s">
        <v>198</v>
      </c>
      <c r="D630" s="675">
        <v>3</v>
      </c>
      <c r="E630" s="680"/>
      <c r="F630" s="680"/>
      <c r="G630" s="16"/>
      <c r="H630" s="16"/>
      <c r="I630" s="16"/>
      <c r="Q630" s="687" t="b">
        <f>ROUND('T2'!C73,$D$630)=ROUND('T3'!D121+'T3'!D132+'T3'!D143+'T3'!D154,$D$630)</f>
        <v>1</v>
      </c>
      <c r="R630" s="687" t="b">
        <f>ROUND('T2'!D73,$D$630)=ROUND('T3'!D122+'T3'!D133+'T3'!D144+'T3'!D155,$D$630)</f>
        <v>1</v>
      </c>
      <c r="S630" s="687" t="b">
        <f>ROUND('T2'!E73,$D$630)=ROUND('T3'!D123+'T3'!D134+'T3'!D145+'T3'!D156,$D$630)</f>
        <v>1</v>
      </c>
      <c r="T630" s="687" t="b">
        <f>ROUND('T2'!F73,$D$630)=ROUND('T3'!D124+'T3'!D135+'T3'!D146+'T3'!D157,$D$630)</f>
        <v>1</v>
      </c>
    </row>
    <row r="631" spans="1:25" outlineLevel="1">
      <c r="A631" s="684"/>
      <c r="B631" s="684"/>
      <c r="C631" s="697" t="s">
        <v>471</v>
      </c>
      <c r="D631" s="698"/>
      <c r="E631" s="680"/>
      <c r="F631" s="680"/>
      <c r="G631" s="16"/>
      <c r="H631" s="16"/>
      <c r="I631" s="16"/>
      <c r="Q631" s="66">
        <f>ROUND('T2'!C73,$D$630)</f>
        <v>0</v>
      </c>
      <c r="R631" s="66">
        <f>ROUND('T2'!D73,$D$630)</f>
        <v>0</v>
      </c>
      <c r="S631" s="66">
        <f>ROUND('T2'!E73,$D$630)</f>
        <v>0</v>
      </c>
      <c r="T631" s="66">
        <f>ROUND('T2'!F73,$D$630)</f>
        <v>0</v>
      </c>
    </row>
    <row r="632" spans="1:25" outlineLevel="1">
      <c r="A632" s="684"/>
      <c r="B632" s="684"/>
      <c r="C632" s="697" t="s">
        <v>472</v>
      </c>
      <c r="D632" s="698"/>
      <c r="E632" s="680"/>
      <c r="F632" s="680"/>
      <c r="G632" s="16"/>
      <c r="H632" s="16"/>
      <c r="I632" s="16"/>
      <c r="Q632" s="66">
        <f>ROUND('T3'!D121+'T3'!D132+'T3'!D143+'T3'!D154,$D$630)</f>
        <v>0</v>
      </c>
      <c r="R632" s="66">
        <f>ROUND('T3'!D122+'T3'!D133+'T3'!D144+'T3'!D155,$D$630)</f>
        <v>0</v>
      </c>
      <c r="S632" s="66">
        <f>ROUND('T3'!D123+'T3'!D134+'T3'!D145+'T3'!D156,$D$630)</f>
        <v>0</v>
      </c>
      <c r="T632" s="66">
        <f>ROUND('T3'!D124+'T3'!D135+'T3'!D146+'T3'!D157,$D$630)</f>
        <v>0</v>
      </c>
    </row>
    <row r="633" spans="1:25" outlineLevel="1">
      <c r="A633" s="684" t="s">
        <v>548</v>
      </c>
      <c r="B633" s="684" t="s">
        <v>495</v>
      </c>
      <c r="C633" s="705" t="s">
        <v>198</v>
      </c>
      <c r="D633" s="675">
        <v>3</v>
      </c>
      <c r="E633" s="680"/>
      <c r="F633" s="680"/>
      <c r="G633" s="16"/>
      <c r="H633" s="16"/>
      <c r="I633" s="16"/>
      <c r="Q633" s="687" t="b">
        <f>ROUND('T3'!E125+'T3'!E136+'T3'!E147+'T3'!E158+'T3'!F125+'T3'!F136+'T3'!F147+'T3'!F158,$D$633)&lt;=0</f>
        <v>1</v>
      </c>
      <c r="R633" s="687" t="b">
        <f>ROUND('T3'!G125+'T3'!G136+'T3'!G147+'T3'!G158,$D$633)&lt;=0</f>
        <v>1</v>
      </c>
      <c r="S633" s="687" t="b">
        <f>ROUND('T3'!H125+'T3'!H136+'T3'!H147+'T3'!H158,$D$633)&lt;=0</f>
        <v>1</v>
      </c>
      <c r="T633" s="687" t="b">
        <f>ROUND('T3'!I125+'T3'!I136+'T3'!I147+'T3'!I158,$D$633)&lt;=0</f>
        <v>1</v>
      </c>
    </row>
    <row r="634" spans="1:25" outlineLevel="1">
      <c r="A634" s="684"/>
      <c r="B634" s="684"/>
      <c r="C634" s="697" t="s">
        <v>549</v>
      </c>
      <c r="D634" s="698"/>
      <c r="E634" s="680"/>
      <c r="F634" s="680"/>
      <c r="G634" s="16"/>
      <c r="H634" s="16"/>
      <c r="I634" s="16"/>
      <c r="Q634" s="66">
        <f>ROUND('T3'!E125+'T3'!E136+'T3'!E147+'T3'!E158+'T3'!F125+'T3'!F136+'T3'!F147+'T3'!F158,$D$633)</f>
        <v>0</v>
      </c>
      <c r="R634" s="66">
        <f>ROUND('T3'!G125+'T3'!G136+'T3'!G147+'T3'!G158,$D$633)</f>
        <v>0</v>
      </c>
      <c r="S634" s="66">
        <f>ROUND('T3'!H125+'T3'!H136+'T3'!H147+'T3'!H158,$D$633)</f>
        <v>0</v>
      </c>
      <c r="T634" s="66">
        <f>ROUND('T3'!I125+'T3'!I136+'T3'!I147+'T3'!I158,$D$633)</f>
        <v>0</v>
      </c>
    </row>
    <row r="635" spans="1:25" s="680" customFormat="1">
      <c r="A635" s="684" t="s">
        <v>488</v>
      </c>
      <c r="B635" s="684" t="s">
        <v>489</v>
      </c>
      <c r="C635" s="685" t="s">
        <v>496</v>
      </c>
      <c r="D635" s="698"/>
      <c r="I635" s="16"/>
      <c r="J635" s="16"/>
      <c r="P635" s="16"/>
      <c r="Q635" s="687" t="b">
        <f>SUM('T3'!E$13:E$16,'T3'!E$24:E$27,'T3'!E$31:E$34,'T3'!E$38:E$41,'T3'!E$45:E$48,'T3'!E$52:E$55,'T3'!E$59:E$62,'T3'!E$66:E$69,'T3'!E$82:E$85,'T3'!E$93:E$96,'T3'!E$110:E$113,'T3'!E$161:E$164)+SUM('T3'!F$13:F$16,'T3'!F$24:F$27,'T3'!F$31:F$34,'T3'!F$38:F$41,'T3'!F$45:F$48,'T3'!F$52:F$55,'T3'!F$59:F$62,'T3'!F$66:F$69,'T3'!F$82:F$85,'T3'!F$93:F$96,'T3'!F$110:F$113,'T3'!F$161:F$164)=0</f>
        <v>1</v>
      </c>
      <c r="R635" s="687" t="b">
        <f>SUM('T3'!G$13:G$16,'T3'!G$24:G$27,'T3'!G$31:G$34,'T3'!G$38:G$41,'T3'!G$45:G$48,'T3'!G$52:G$55,'T3'!G$59:G$62,'T3'!G$66:G$69,'T3'!G$82:G$85,'T3'!G$93:G$96,'T3'!G$110:G$113,'T3'!G$161:G$164)=0</f>
        <v>1</v>
      </c>
      <c r="S635" s="16"/>
      <c r="T635" s="16"/>
    </row>
    <row r="636" spans="1:25" outlineLevel="1">
      <c r="A636" s="684"/>
      <c r="B636" s="684"/>
      <c r="C636" s="692" t="s">
        <v>497</v>
      </c>
      <c r="D636" s="698"/>
      <c r="G636" s="16"/>
      <c r="H636" s="16"/>
      <c r="I636" s="16"/>
      <c r="Q636" s="66">
        <f>SUM('T3'!E$13:E$16,'T3'!E$24:E$27,'T3'!E$31:E$34,'T3'!E$38:E$41,'T3'!E$45:E$48,'T3'!E$52:E$55,'T3'!E$59:E$62,'T3'!E$66:E$69,'T3'!E$82:E$85,'T3'!E$93:E$96,'T3'!E$110:E$113,'T3'!E$161:E$164)+SUM('T3'!F$13:F$16,'T3'!F$24:F$27,'T3'!F$31:F$34,'T3'!F$38:F$41,'T3'!F$45:F$48,'T3'!F$52:F$55,'T3'!F$59:F$62,'T3'!F$66:F$69,'T3'!F$82:F$85,'T3'!F$93:F$96,'T3'!F$110:F$113,'T3'!F$161:F$164)</f>
        <v>0</v>
      </c>
      <c r="R636" s="66">
        <f>SUM('T3'!G$13:G$16,'T3'!G$24:G$27,'T3'!G$31:G$34,'T3'!G$38:G$41,'T3'!G$45:G$48,'T3'!G$52:G$55,'T3'!G$59:G$62,'T3'!G$66:G$69,'T3'!G$82:G$85,'T3'!G$93:G$96,'T3'!G$110:G$113,'T3'!G$161:G$164)</f>
        <v>0</v>
      </c>
    </row>
    <row r="637" spans="1:25" s="38" customFormat="1" ht="18.75">
      <c r="A637" s="27" t="s">
        <v>13</v>
      </c>
      <c r="B637" s="28" t="s">
        <v>14</v>
      </c>
      <c r="C637" s="29" t="s">
        <v>490</v>
      </c>
      <c r="D637" s="703"/>
      <c r="E637" s="682"/>
      <c r="F637" s="682"/>
      <c r="G637" s="682"/>
      <c r="H637" s="682"/>
      <c r="I637" s="682"/>
      <c r="J637" s="682"/>
      <c r="K637" s="682"/>
      <c r="L637" s="682"/>
      <c r="M637" s="682"/>
      <c r="N637" s="682"/>
      <c r="O637" s="682"/>
      <c r="P637" s="16"/>
      <c r="Q637" s="682"/>
      <c r="R637" s="682"/>
      <c r="S637" s="682"/>
      <c r="T637" s="682"/>
      <c r="W637" s="680"/>
      <c r="X637" s="680"/>
      <c r="Y637" s="680"/>
    </row>
    <row r="638" spans="1:25" s="699" customFormat="1">
      <c r="A638" s="683" t="s">
        <v>423</v>
      </c>
      <c r="B638" s="684" t="s">
        <v>465</v>
      </c>
      <c r="C638" s="694" t="s">
        <v>466</v>
      </c>
      <c r="D638" s="675">
        <v>3</v>
      </c>
      <c r="E638" s="680"/>
      <c r="F638" s="680"/>
      <c r="P638" s="16"/>
      <c r="Q638" s="687" t="b">
        <f>ROUND('T2 ANSP'!C78-'T2 ANSP'!C76,$D$638)=ROUND(SUM('T3 ANSP'!$D$13,'T3 ANSP'!$D$24,'T3 ANSP'!$D$31,'T3 ANSP'!$D$38,'T3 ANSP'!$D$45,'T3 ANSP'!$D$52,'T3 ANSP'!$D$59,'T3 ANSP'!$D$66,'T3 ANSP'!$D$82,'T3 ANSP'!$D$93,'T3 ANSP'!$D$110,'T3 ANSP'!$D$121,'T3 ANSP'!$D$132,'T3 ANSP'!$D$143,'T3 ANSP'!$D$154,'T3 ANSP'!$D$161,'T3 ANSP'!$D$168),$D$638)</f>
        <v>1</v>
      </c>
      <c r="R638" s="687" t="b">
        <f>ROUND('T2 ANSP'!D78-'T2 ANSP'!D76,$D$638)=ROUND(SUM('T3 ANSP'!$D$14,'T3 ANSP'!$D$25,'T3 ANSP'!$D$32,'T3 ANSP'!$D$39,'T3 ANSP'!$D$46,'T3 ANSP'!$D$53,'T3 ANSP'!$D$60,'T3 ANSP'!$D$67,'T3 ANSP'!$D$83,'T3 ANSP'!$D$94,'T3 ANSP'!$D$111,'T3 ANSP'!$D$122,'T3 ANSP'!$D$133,'T3 ANSP'!$D$144,'T3 ANSP'!$D$155,'T3 ANSP'!$D$162,'T3 ANSP'!$D$169),$D$638)</f>
        <v>1</v>
      </c>
      <c r="S638" s="687" t="b">
        <f>ROUND('T2 ANSP'!E78-'T2 ANSP'!E76,$D$638)=ROUND(SUM('T3 ANSP'!$D$15,'T3 ANSP'!$D$26,'T3 ANSP'!$D$33,'T3 ANSP'!$D$40,'T3 ANSP'!$D$47,'T3 ANSP'!$D$54,'T3 ANSP'!$D$61,'T3 ANSP'!$D$68,'T3 ANSP'!$D$84,'T3 ANSP'!$D$95,'T3 ANSP'!$D$112,'T3 ANSP'!$D$123,'T3 ANSP'!$D$134,'T3 ANSP'!$D$145,'T3 ANSP'!$D$156,'T3 ANSP'!$D$163,'T3 ANSP'!$D$170),$D$638)</f>
        <v>1</v>
      </c>
      <c r="T638" s="687" t="b">
        <f>ROUND('T2 ANSP'!F78-'T2 ANSP'!F76,$D$638)=ROUND(SUM('T3 ANSP'!$D$16,'T3 ANSP'!$D$27,'T3 ANSP'!$D$34,'T3 ANSP'!$D$41,'T3 ANSP'!$D$48,'T3 ANSP'!$D$55,'T3 ANSP'!$D$62,'T3 ANSP'!$D$69,'T3 ANSP'!$D$85,'T3 ANSP'!$D$96,'T3 ANSP'!$D$113,'T3 ANSP'!$D$124,'T3 ANSP'!$D$135,'T3 ANSP'!$D$146,'T3 ANSP'!$D$157,'T3 ANSP'!$D$164,'T3 ANSP'!$D$171),$D$638)</f>
        <v>1</v>
      </c>
      <c r="W638" s="680"/>
      <c r="X638" s="680"/>
      <c r="Y638" s="680"/>
    </row>
    <row r="639" spans="1:25" outlineLevel="1">
      <c r="A639" s="684"/>
      <c r="B639" s="684"/>
      <c r="C639" s="697" t="s">
        <v>467</v>
      </c>
      <c r="D639" s="698"/>
      <c r="E639" s="680"/>
      <c r="F639" s="680"/>
      <c r="G639" s="16"/>
      <c r="H639" s="16"/>
      <c r="I639" s="16"/>
      <c r="Q639" s="66">
        <f>ROUND('T2 ANSP'!C78-'T2 ANSP'!C76,$D$638)</f>
        <v>362681.99599999998</v>
      </c>
      <c r="R639" s="66">
        <f>ROUND('T2 ANSP'!D78-'T2 ANSP'!D76,$D$638)</f>
        <v>0</v>
      </c>
      <c r="S639" s="66">
        <f>ROUND('T2 ANSP'!E78-'T2 ANSP'!E76,$D$638)</f>
        <v>0</v>
      </c>
      <c r="T639" s="66">
        <f>ROUND('T2 ANSP'!F78-'T2 ANSP'!F76,$D$638)</f>
        <v>0</v>
      </c>
      <c r="W639" s="680"/>
      <c r="X639" s="680"/>
      <c r="Y639" s="680"/>
    </row>
    <row r="640" spans="1:25" outlineLevel="1">
      <c r="A640" s="684"/>
      <c r="B640" s="684"/>
      <c r="C640" s="697" t="s">
        <v>468</v>
      </c>
      <c r="D640" s="698"/>
      <c r="E640" s="680"/>
      <c r="F640" s="680"/>
      <c r="G640" s="16"/>
      <c r="H640" s="16"/>
      <c r="I640" s="16"/>
      <c r="Q640" s="66">
        <f>ROUND(SUM('T3 ANSP'!$D$13,'T3 ANSP'!$D$24,'T3 ANSP'!$D$31,'T3 ANSP'!$D$38,'T3 ANSP'!$D$45,'T3 ANSP'!$D$52,'T3 ANSP'!$D$59,'T3 ANSP'!$D$66,'T3 ANSP'!$D$82,'T3 ANSP'!$D$93,'T3 ANSP'!$D$110,'T3 ANSP'!$D$121,'T3 ANSP'!$D$132,'T3 ANSP'!$D$143,'T3 ANSP'!$D$154,'T3 ANSP'!$D$161,'T3 ANSP'!$D$168),$D$638)</f>
        <v>362681.99599999998</v>
      </c>
      <c r="R640" s="66">
        <f>ROUND(SUM('T3 ANSP'!$D$14,'T3 ANSP'!$D$25,'T3 ANSP'!$D$32,'T3 ANSP'!$D$39,'T3 ANSP'!$D$46,'T3 ANSP'!$D$53,'T3 ANSP'!$D$60,'T3 ANSP'!$D$67,'T3 ANSP'!$D$83,'T3 ANSP'!$D$94,'T3 ANSP'!$D$111,'T3 ANSP'!$D$122,'T3 ANSP'!$D$133,'T3 ANSP'!$D$144,'T3 ANSP'!$D$155,'T3 ANSP'!$D$162,'T3 ANSP'!$D$169),$D$638)</f>
        <v>0</v>
      </c>
      <c r="S640" s="66">
        <f>ROUND(SUM('T3 ANSP'!$D$15,'T3 ANSP'!$D$26,'T3 ANSP'!$D$33,'T3 ANSP'!$D$40,'T3 ANSP'!$D$47,'T3 ANSP'!$D$54,'T3 ANSP'!$D$61,'T3 ANSP'!$D$68,'T3 ANSP'!$D$84,'T3 ANSP'!$D$95,'T3 ANSP'!$D$112,'T3 ANSP'!$D$123,'T3 ANSP'!$D$134,'T3 ANSP'!$D$145,'T3 ANSP'!$D$156,'T3 ANSP'!$D$163,'T3 ANSP'!$D$170),$D$638)</f>
        <v>0</v>
      </c>
      <c r="T640" s="66">
        <f>ROUND(SUM('T3 ANSP'!$D$16,'T3 ANSP'!$D$27,'T3 ANSP'!$D$34,'T3 ANSP'!$D$41,'T3 ANSP'!$D$48,'T3 ANSP'!$D$55,'T3 ANSP'!$D$62,'T3 ANSP'!$D$69,'T3 ANSP'!$D$85,'T3 ANSP'!$D$96,'T3 ANSP'!$D$113,'T3 ANSP'!$D$124,'T3 ANSP'!$D$135,'T3 ANSP'!$D$146,'T3 ANSP'!$D$157,'T3 ANSP'!$D$164,'T3 ANSP'!$D$171),$D$638)</f>
        <v>0</v>
      </c>
      <c r="W640" s="680"/>
      <c r="X640" s="680"/>
      <c r="Y640" s="680"/>
    </row>
    <row r="641" spans="1:25">
      <c r="A641" s="684" t="s">
        <v>394</v>
      </c>
      <c r="B641" s="684" t="s">
        <v>469</v>
      </c>
      <c r="C641" s="694" t="s">
        <v>470</v>
      </c>
      <c r="D641" s="675">
        <v>3</v>
      </c>
      <c r="E641" s="680"/>
      <c r="F641" s="680"/>
      <c r="G641" s="16"/>
      <c r="H641" s="16"/>
      <c r="I641" s="16"/>
      <c r="Q641" s="687" t="b">
        <f>ROUND('T2 ANSP'!C19,$D$641)=ROUND('T3 ANSP'!$D$13,$D$641)</f>
        <v>1</v>
      </c>
      <c r="R641" s="687" t="b">
        <f>ROUND('T2 ANSP'!D19,$D$641)=ROUND('T3 ANSP'!$D$14,$D$641)</f>
        <v>1</v>
      </c>
      <c r="S641" s="687" t="b">
        <f>ROUND('T2 ANSP'!E19,$D$641)=ROUND('T3 ANSP'!$D$15,$D$641)</f>
        <v>1</v>
      </c>
      <c r="T641" s="687" t="b">
        <f>ROUND('T2 ANSP'!F19,$D$641)=ROUND('T3 ANSP'!$D$16,$D$641)</f>
        <v>1</v>
      </c>
      <c r="Y641" s="695"/>
    </row>
    <row r="642" spans="1:25" outlineLevel="1">
      <c r="A642" s="684"/>
      <c r="B642" s="684"/>
      <c r="C642" s="697" t="s">
        <v>471</v>
      </c>
      <c r="D642" s="698"/>
      <c r="E642" s="680"/>
      <c r="F642" s="680"/>
      <c r="G642" s="16"/>
      <c r="H642" s="16"/>
      <c r="I642" s="16"/>
      <c r="Q642" s="66">
        <f>ROUND('T2 ANSP'!C19,$D$641)</f>
        <v>0</v>
      </c>
      <c r="R642" s="66">
        <f>ROUND('T2 ANSP'!D19,$D$641)</f>
        <v>0</v>
      </c>
      <c r="S642" s="66">
        <f>ROUND('T2 ANSP'!E19,$D$641)</f>
        <v>0</v>
      </c>
      <c r="T642" s="66">
        <f>ROUND('T2 ANSP'!F19,$D$641)</f>
        <v>0</v>
      </c>
      <c r="Y642" s="695"/>
    </row>
    <row r="643" spans="1:25" outlineLevel="1">
      <c r="A643" s="684"/>
      <c r="B643" s="684"/>
      <c r="C643" s="697" t="s">
        <v>472</v>
      </c>
      <c r="D643" s="698"/>
      <c r="E643" s="680"/>
      <c r="F643" s="680"/>
      <c r="G643" s="16"/>
      <c r="H643" s="16"/>
      <c r="I643" s="16"/>
      <c r="Q643" s="66">
        <f>ROUND('T3 ANSP'!$D$13,$D$641)</f>
        <v>0</v>
      </c>
      <c r="R643" s="66">
        <f>ROUND('T3 ANSP'!$D$14,$D$641)</f>
        <v>0</v>
      </c>
      <c r="S643" s="66">
        <f>ROUND('T3 ANSP'!$D$15,$D$641)</f>
        <v>0</v>
      </c>
      <c r="T643" s="66">
        <f>ROUND('T3 ANSP'!$D$16,$D$641)</f>
        <v>0</v>
      </c>
      <c r="Y643" s="695"/>
    </row>
    <row r="644" spans="1:25">
      <c r="A644" s="684" t="s">
        <v>402</v>
      </c>
      <c r="B644" s="684" t="s">
        <v>473</v>
      </c>
      <c r="C644" s="694" t="s">
        <v>474</v>
      </c>
      <c r="D644" s="675">
        <v>3</v>
      </c>
      <c r="E644" s="680"/>
      <c r="F644" s="680"/>
      <c r="G644" s="16"/>
      <c r="H644" s="16"/>
      <c r="I644" s="16"/>
      <c r="Q644" s="687" t="b">
        <f>ROUND('T2 ANSP'!C28,$D$644)=ROUND('T3 ANSP'!$D$31+'T3 ANSP'!$D$38+'T3 ANSP'!$D$45+'T3 ANSP'!$D$52+'T3 ANSP'!$D$59+'T3 ANSP'!$D$66,$D$644)</f>
        <v>1</v>
      </c>
      <c r="R644" s="687" t="b">
        <f>ROUND('T2 ANSP'!D28,$D$644)=ROUND('T3 ANSP'!$D$32+'T3 ANSP'!$D$39+'T3 ANSP'!$D$46+'T3 ANSP'!$D$53+'T3 ANSP'!$D$60+'T3 ANSP'!$D$67,$D$644)</f>
        <v>1</v>
      </c>
      <c r="S644" s="687" t="b">
        <f>ROUND('T2 ANSP'!E28,$D$644)=ROUND('T3 ANSP'!$D$33+'T3 ANSP'!$D$40+'T3 ANSP'!$D$47+'T3 ANSP'!$D$54+'T3 ANSP'!$D$61+'T3 ANSP'!$D$68,$D$644)</f>
        <v>1</v>
      </c>
      <c r="T644" s="687" t="b">
        <f>ROUND('T2 ANSP'!F28,$D$644)=ROUND('T3 ANSP'!$D$34+'T3 ANSP'!$D$41+'T3 ANSP'!$D$48+'T3 ANSP'!$D$55+'T3 ANSP'!$D$62+'T3 ANSP'!$D$69,$D$644)</f>
        <v>1</v>
      </c>
      <c r="Y644" s="695"/>
    </row>
    <row r="645" spans="1:25" outlineLevel="1">
      <c r="A645" s="684"/>
      <c r="B645" s="684"/>
      <c r="C645" s="697" t="s">
        <v>471</v>
      </c>
      <c r="D645" s="698"/>
      <c r="E645" s="680"/>
      <c r="F645" s="680"/>
      <c r="G645" s="16"/>
      <c r="H645" s="16"/>
      <c r="I645" s="16"/>
      <c r="Q645" s="66">
        <f>ROUND('T2 ANSP'!C28,$D$644)</f>
        <v>0</v>
      </c>
      <c r="R645" s="66">
        <f>ROUND('T2 ANSP'!D28,$D$644)</f>
        <v>0</v>
      </c>
      <c r="S645" s="66">
        <f>ROUND('T2 ANSP'!E28,$D$644)</f>
        <v>0</v>
      </c>
      <c r="T645" s="66">
        <f>ROUND('T2 ANSP'!F28,$D$644)</f>
        <v>0</v>
      </c>
      <c r="Y645" s="695"/>
    </row>
    <row r="646" spans="1:25" outlineLevel="1">
      <c r="A646" s="684"/>
      <c r="B646" s="684"/>
      <c r="C646" s="697" t="s">
        <v>472</v>
      </c>
      <c r="D646" s="698"/>
      <c r="E646" s="680"/>
      <c r="F646" s="680"/>
      <c r="G646" s="16"/>
      <c r="H646" s="16"/>
      <c r="I646" s="16"/>
      <c r="Q646" s="66">
        <f>ROUND('T3 ANSP'!$D$31+'T3 ANSP'!$D$38+'T3 ANSP'!$D$45+'T3 ANSP'!$D$52+'T3 ANSP'!$D$59+'T3 ANSP'!$D$66,$D$644)</f>
        <v>0</v>
      </c>
      <c r="R646" s="66">
        <f>ROUND('T3 ANSP'!$D$32+'T3 ANSP'!$D$39+'T3 ANSP'!$D$46+'T3 ANSP'!$D$53+'T3 ANSP'!$D$60+'T3 ANSP'!$D$67,$D$644)</f>
        <v>0</v>
      </c>
      <c r="S646" s="66">
        <f>ROUND('T3 ANSP'!$D$33+'T3 ANSP'!$D$40+'T3 ANSP'!$D$47+'T3 ANSP'!$D$54+'T3 ANSP'!$D$61+'T3 ANSP'!$D$68,$D$644)</f>
        <v>0</v>
      </c>
      <c r="T646" s="66">
        <f>ROUND('T3 ANSP'!$D$34+'T3 ANSP'!$D$41+'T3 ANSP'!$D$48+'T3 ANSP'!$D$55+'T3 ANSP'!$D$62+'T3 ANSP'!$D$69,$D$644)</f>
        <v>0</v>
      </c>
      <c r="Y646" s="695"/>
    </row>
    <row r="647" spans="1:25">
      <c r="A647" s="684" t="s">
        <v>399</v>
      </c>
      <c r="B647" s="684" t="s">
        <v>475</v>
      </c>
      <c r="C647" s="694" t="s">
        <v>476</v>
      </c>
      <c r="D647" s="675">
        <v>3</v>
      </c>
      <c r="E647" s="680"/>
      <c r="F647" s="680"/>
      <c r="G647" s="16"/>
      <c r="H647" s="16"/>
      <c r="I647" s="16"/>
      <c r="Q647" s="687" t="b">
        <f>ROUND('T2 ANSP'!C41,$D$647)=ROUND('T3 ANSP'!$D$24,$D$647)</f>
        <v>1</v>
      </c>
      <c r="R647" s="687" t="b">
        <f>ROUND('T2 ANSP'!D41,$D$647)=ROUND('T3 ANSP'!$D$25,$D$647)</f>
        <v>1</v>
      </c>
      <c r="S647" s="687" t="b">
        <f>ROUND('T2 ANSP'!E41,$D$647)=ROUND('T3 ANSP'!$D$26,$D$647)</f>
        <v>1</v>
      </c>
      <c r="T647" s="687" t="b">
        <f>ROUND('T2 ANSP'!F41,$D$647)=ROUND('T3 ANSP'!$D$27,$D$647)</f>
        <v>1</v>
      </c>
      <c r="Y647" s="695"/>
    </row>
    <row r="648" spans="1:25" outlineLevel="1">
      <c r="A648" s="684"/>
      <c r="B648" s="684"/>
      <c r="C648" s="697" t="s">
        <v>471</v>
      </c>
      <c r="D648" s="698"/>
      <c r="E648" s="680"/>
      <c r="F648" s="680"/>
      <c r="G648" s="16"/>
      <c r="H648" s="16"/>
      <c r="I648" s="16"/>
      <c r="Q648" s="66">
        <f>ROUND('T2 ANSP'!C41,$D$647)</f>
        <v>0</v>
      </c>
      <c r="R648" s="66">
        <f>ROUND('T2 ANSP'!D41,$D$647)</f>
        <v>0</v>
      </c>
      <c r="S648" s="66">
        <f>ROUND('T2 ANSP'!E41,$D$647)</f>
        <v>0</v>
      </c>
      <c r="T648" s="66">
        <f>ROUND('T2 ANSP'!F41,$D$647)</f>
        <v>0</v>
      </c>
      <c r="Y648" s="695"/>
    </row>
    <row r="649" spans="1:25" outlineLevel="1">
      <c r="A649" s="684"/>
      <c r="B649" s="684"/>
      <c r="C649" s="697" t="s">
        <v>472</v>
      </c>
      <c r="D649" s="698"/>
      <c r="E649" s="680"/>
      <c r="F649" s="680"/>
      <c r="G649" s="16"/>
      <c r="H649" s="16"/>
      <c r="I649" s="16"/>
      <c r="Q649" s="66">
        <f>ROUND('T3 ANSP'!$D$24,$D$647)</f>
        <v>0</v>
      </c>
      <c r="R649" s="66">
        <f>ROUND('T3 ANSP'!$D$25,$D$647)</f>
        <v>0</v>
      </c>
      <c r="S649" s="66">
        <f>ROUND('T3 ANSP'!$D$26,$D$647)</f>
        <v>0</v>
      </c>
      <c r="T649" s="66">
        <f>ROUND('T3 ANSP'!$D$27,$D$647)</f>
        <v>0</v>
      </c>
      <c r="Y649" s="695"/>
    </row>
    <row r="650" spans="1:25">
      <c r="A650" s="684" t="s">
        <v>411</v>
      </c>
      <c r="B650" s="684" t="s">
        <v>477</v>
      </c>
      <c r="C650" s="694" t="s">
        <v>478</v>
      </c>
      <c r="D650" s="675">
        <v>3</v>
      </c>
      <c r="E650" s="680"/>
      <c r="F650" s="680"/>
      <c r="G650" s="16"/>
      <c r="H650" s="16"/>
      <c r="I650" s="16"/>
      <c r="Q650" s="687" t="b">
        <f>ROUND('T2 ANSP'!C46,$D$650)=ROUND('T3 ANSP'!$D$110,$D$650)</f>
        <v>1</v>
      </c>
      <c r="R650" s="687" t="b">
        <f>ROUND('T2 ANSP'!D46,$D$650)=ROUND('T3 ANSP'!$D$111,$D$650)</f>
        <v>1</v>
      </c>
      <c r="S650" s="687" t="b">
        <f>ROUND('T2 ANSP'!E46,$D$650)=ROUND('T3 ANSP'!$D$112,$D$650)</f>
        <v>1</v>
      </c>
      <c r="T650" s="687" t="b">
        <f>ROUND('T2 ANSP'!F46,$D$650)=ROUND('T3 ANSP'!$D$113,$D$650)</f>
        <v>1</v>
      </c>
    </row>
    <row r="651" spans="1:25" outlineLevel="1">
      <c r="A651" s="684"/>
      <c r="B651" s="684"/>
      <c r="C651" s="697" t="s">
        <v>471</v>
      </c>
      <c r="D651" s="698"/>
      <c r="E651" s="680"/>
      <c r="F651" s="680"/>
      <c r="G651" s="16"/>
      <c r="H651" s="16"/>
      <c r="I651" s="16"/>
      <c r="Q651" s="66">
        <f>ROUND('T2 ANSP'!C46,$D$650)</f>
        <v>0</v>
      </c>
      <c r="R651" s="66">
        <f>ROUND('T2 ANSP'!D46,$D$650)</f>
        <v>0</v>
      </c>
      <c r="S651" s="66">
        <f>ROUND('T2 ANSP'!E46,$D$650)</f>
        <v>0</v>
      </c>
      <c r="T651" s="66">
        <f>ROUND('T2 ANSP'!F46,$D$650)</f>
        <v>0</v>
      </c>
    </row>
    <row r="652" spans="1:25" outlineLevel="1">
      <c r="A652" s="684"/>
      <c r="B652" s="684"/>
      <c r="C652" s="697" t="s">
        <v>472</v>
      </c>
      <c r="D652" s="698"/>
      <c r="E652" s="680"/>
      <c r="F652" s="680"/>
      <c r="G652" s="16"/>
      <c r="H652" s="16"/>
      <c r="I652" s="16"/>
      <c r="Q652" s="66">
        <f>ROUND('T3 ANSP'!$D$110,$D$650)</f>
        <v>0</v>
      </c>
      <c r="R652" s="66">
        <f>ROUND('T3 ANSP'!$D$111,$D$650)</f>
        <v>0</v>
      </c>
      <c r="S652" s="66">
        <f>ROUND('T3 ANSP'!$D$112,$D$650)</f>
        <v>0</v>
      </c>
      <c r="T652" s="66">
        <f>ROUND('T3 ANSP'!$D$113,$D$650)</f>
        <v>0</v>
      </c>
    </row>
    <row r="653" spans="1:25">
      <c r="A653" s="684" t="s">
        <v>405</v>
      </c>
      <c r="B653" s="684" t="s">
        <v>479</v>
      </c>
      <c r="C653" s="694" t="s">
        <v>480</v>
      </c>
      <c r="D653" s="675">
        <v>3</v>
      </c>
      <c r="E653" s="680"/>
      <c r="F653" s="680"/>
      <c r="G653" s="16"/>
      <c r="H653" s="16"/>
      <c r="I653" s="16"/>
      <c r="Q653" s="687" t="b">
        <f>ROUND('T2 ANSP'!C54,$D$653)=ROUND('T3 ANSP'!$D$82,$D$653)</f>
        <v>1</v>
      </c>
      <c r="R653" s="687" t="b">
        <f>ROUND('T2 ANSP'!D54,$D$653)=ROUND('T3 ANSP'!$D$83,$D$653)</f>
        <v>1</v>
      </c>
      <c r="S653" s="687" t="b">
        <f>ROUND('T2 ANSP'!E54,$D$653)=ROUND('T3 ANSP'!$D$84,$D$653)</f>
        <v>1</v>
      </c>
      <c r="T653" s="687" t="b">
        <f>ROUND('T2 ANSP'!F54,$D$653)=ROUND('T3 ANSP'!$D$85,$D$653)</f>
        <v>1</v>
      </c>
      <c r="Y653" s="695"/>
    </row>
    <row r="654" spans="1:25" outlineLevel="1">
      <c r="A654" s="684"/>
      <c r="B654" s="684"/>
      <c r="C654" s="697" t="s">
        <v>471</v>
      </c>
      <c r="D654" s="698"/>
      <c r="E654" s="680"/>
      <c r="F654" s="680"/>
      <c r="G654" s="16"/>
      <c r="H654" s="16"/>
      <c r="I654" s="16"/>
      <c r="Q654" s="66">
        <f>ROUND('T2 ANSP'!C54,$D$653)</f>
        <v>0</v>
      </c>
      <c r="R654" s="66">
        <f>ROUND('T2 ANSP'!D54,$D$653)</f>
        <v>0</v>
      </c>
      <c r="S654" s="66">
        <f>ROUND('T2 ANSP'!E54,$D$653)</f>
        <v>0</v>
      </c>
      <c r="T654" s="66">
        <f>ROUND('T2 ANSP'!F54,$D$653)</f>
        <v>0</v>
      </c>
      <c r="Y654" s="695"/>
    </row>
    <row r="655" spans="1:25" outlineLevel="1">
      <c r="A655" s="684"/>
      <c r="B655" s="684"/>
      <c r="C655" s="697" t="s">
        <v>472</v>
      </c>
      <c r="D655" s="698"/>
      <c r="E655" s="680"/>
      <c r="F655" s="680"/>
      <c r="G655" s="16"/>
      <c r="H655" s="16"/>
      <c r="I655" s="16"/>
      <c r="Q655" s="66">
        <f>ROUND('T3 ANSP'!$D$82,$D$653)</f>
        <v>0</v>
      </c>
      <c r="R655" s="66">
        <f>ROUND('T3 ANSP'!$D$83,$D$653)</f>
        <v>0</v>
      </c>
      <c r="S655" s="66">
        <f>ROUND('T3 ANSP'!$D$84,$D$653)</f>
        <v>0</v>
      </c>
      <c r="T655" s="66">
        <f>ROUND('T3 ANSP'!$D$85,$D$653)</f>
        <v>0</v>
      </c>
      <c r="Y655" s="695"/>
    </row>
    <row r="656" spans="1:25">
      <c r="A656" s="684" t="s">
        <v>408</v>
      </c>
      <c r="B656" s="684" t="s">
        <v>481</v>
      </c>
      <c r="C656" s="694" t="s">
        <v>191</v>
      </c>
      <c r="D656" s="675">
        <v>3</v>
      </c>
      <c r="E656" s="680"/>
      <c r="F656" s="680"/>
      <c r="G656" s="16"/>
      <c r="H656" s="16"/>
      <c r="I656" s="16"/>
      <c r="Q656" s="687" t="b">
        <f>ROUND('T2 ANSP'!C59,$D$656)=ROUND('T3 ANSP'!$D$93,$D$656)</f>
        <v>1</v>
      </c>
      <c r="R656" s="687" t="b">
        <f>ROUND('T2 ANSP'!D59,$D$656)=ROUND('T3 ANSP'!$D$94,$D$656)</f>
        <v>1</v>
      </c>
      <c r="S656" s="687" t="b">
        <f>ROUND('T2 ANSP'!E59,$D$656)=ROUND('T3 ANSP'!$D$95,$D$656)</f>
        <v>1</v>
      </c>
      <c r="T656" s="687" t="b">
        <f>ROUND('T2 ANSP'!F59,$D$656)=ROUND('T3 ANSP'!$D$96,$D$656)</f>
        <v>1</v>
      </c>
      <c r="Y656" s="695"/>
    </row>
    <row r="657" spans="1:25" outlineLevel="1">
      <c r="A657" s="684"/>
      <c r="B657" s="684"/>
      <c r="C657" s="697" t="s">
        <v>471</v>
      </c>
      <c r="D657" s="698"/>
      <c r="E657" s="680"/>
      <c r="F657" s="680"/>
      <c r="G657" s="16"/>
      <c r="H657" s="16"/>
      <c r="I657" s="16"/>
      <c r="Q657" s="66">
        <f>ROUND('T2 ANSP'!C59,$D$656)</f>
        <v>0</v>
      </c>
      <c r="R657" s="66">
        <f>ROUND('T2 ANSP'!D59,$D$656)</f>
        <v>0</v>
      </c>
      <c r="S657" s="66">
        <f>ROUND('T2 ANSP'!E59,$D$656)</f>
        <v>0</v>
      </c>
      <c r="T657" s="66">
        <f>ROUND('T2 ANSP'!F59,$D$656)</f>
        <v>0</v>
      </c>
      <c r="Y657" s="695"/>
    </row>
    <row r="658" spans="1:25" outlineLevel="1">
      <c r="A658" s="684"/>
      <c r="B658" s="684"/>
      <c r="C658" s="697" t="s">
        <v>472</v>
      </c>
      <c r="D658" s="698"/>
      <c r="E658" s="680"/>
      <c r="F658" s="680"/>
      <c r="G658" s="16"/>
      <c r="H658" s="16"/>
      <c r="I658" s="16"/>
      <c r="Q658" s="66">
        <f>ROUND('T3 ANSP'!$D$93,$D$656)</f>
        <v>0</v>
      </c>
      <c r="R658" s="66">
        <f>ROUND('T3 ANSP'!$D$94,$D$656)</f>
        <v>0</v>
      </c>
      <c r="S658" s="66">
        <f>ROUND('T3 ANSP'!$D$95,$D$656)</f>
        <v>0</v>
      </c>
      <c r="T658" s="66">
        <f>ROUND('T3 ANSP'!$D$96,$D$656)</f>
        <v>0</v>
      </c>
      <c r="Y658" s="695"/>
    </row>
    <row r="659" spans="1:25">
      <c r="A659" s="684" t="s">
        <v>420</v>
      </c>
      <c r="B659" s="684" t="s">
        <v>482</v>
      </c>
      <c r="C659" s="694" t="s">
        <v>483</v>
      </c>
      <c r="D659" s="675">
        <v>3</v>
      </c>
      <c r="E659" s="680"/>
      <c r="F659" s="680"/>
      <c r="G659" s="16"/>
      <c r="H659" s="16"/>
      <c r="I659" s="16"/>
      <c r="Q659" s="687" t="b">
        <f>ROUND('T2 ANSP'!C63,$D$659)=ROUND('T3 ANSP'!$D$161,$D$659)</f>
        <v>1</v>
      </c>
      <c r="R659" s="687" t="b">
        <f>ROUND('T2 ANSP'!D63,$D$659)=ROUND('T3 ANSP'!$D$162,$D$659)</f>
        <v>1</v>
      </c>
      <c r="S659" s="687" t="b">
        <f>ROUND('T2 ANSP'!E63,$D$659)=ROUND('T3 ANSP'!$D$163,$D$659)</f>
        <v>1</v>
      </c>
      <c r="T659" s="687" t="b">
        <f>ROUND('T2 ANSP'!F63,$D$659)=ROUND('T3 ANSP'!$D$164,$D$659)</f>
        <v>1</v>
      </c>
    </row>
    <row r="660" spans="1:25" outlineLevel="1">
      <c r="A660" s="684"/>
      <c r="B660" s="684"/>
      <c r="C660" s="697" t="s">
        <v>471</v>
      </c>
      <c r="D660" s="698"/>
      <c r="E660" s="680"/>
      <c r="F660" s="680"/>
      <c r="G660" s="16"/>
      <c r="H660" s="16"/>
      <c r="I660" s="16"/>
      <c r="Q660" s="66">
        <f>ROUND('T2 ANSP'!C63,$D$659)</f>
        <v>362681.99599999998</v>
      </c>
      <c r="R660" s="66">
        <f>ROUND('T2 ANSP'!D63,$D$659)</f>
        <v>0</v>
      </c>
      <c r="S660" s="66">
        <f>ROUND('T2 ANSP'!E63,$D$659)</f>
        <v>0</v>
      </c>
      <c r="T660" s="66">
        <f>ROUND('T2 ANSP'!F63,$D$659)</f>
        <v>0</v>
      </c>
    </row>
    <row r="661" spans="1:25" outlineLevel="1">
      <c r="A661" s="684"/>
      <c r="B661" s="684"/>
      <c r="C661" s="697" t="s">
        <v>472</v>
      </c>
      <c r="D661" s="698"/>
      <c r="E661" s="680"/>
      <c r="F661" s="680"/>
      <c r="G661" s="16"/>
      <c r="H661" s="16"/>
      <c r="I661" s="16"/>
      <c r="Q661" s="66">
        <f>ROUND('T3 ANSP'!$D$161,$D$659)</f>
        <v>362681.99599999998</v>
      </c>
      <c r="R661" s="66">
        <f>ROUND('T3 ANSP'!$D$162,$D$659)</f>
        <v>0</v>
      </c>
      <c r="S661" s="66">
        <f>ROUND('T3 ANSP'!$D$163,$D$659)</f>
        <v>0</v>
      </c>
      <c r="T661" s="66">
        <f>ROUND('T3 ANSP'!$D$164,$D$659)</f>
        <v>0</v>
      </c>
    </row>
    <row r="662" spans="1:25">
      <c r="A662" s="684" t="s">
        <v>484</v>
      </c>
      <c r="B662" s="684" t="s">
        <v>485</v>
      </c>
      <c r="C662" s="694" t="s">
        <v>486</v>
      </c>
      <c r="D662" s="675">
        <v>3</v>
      </c>
      <c r="E662" s="680"/>
      <c r="F662" s="680"/>
      <c r="G662" s="16"/>
      <c r="H662" s="16"/>
      <c r="I662" s="16"/>
      <c r="Q662" s="687" t="b">
        <f>ROUND('T2 ANSP'!C66,$D$662)=ROUND('T3 ANSP'!$D$168,$D$662)</f>
        <v>1</v>
      </c>
      <c r="R662" s="687" t="b">
        <f>ROUND('T2 ANSP'!D66,$D$662)=ROUND('T3 ANSP'!$D$169,$D$662)</f>
        <v>1</v>
      </c>
      <c r="S662" s="687" t="b">
        <f>ROUND('T2 ANSP'!E66,$D$662)=ROUND('T3 ANSP'!$D$170,$D$662)</f>
        <v>1</v>
      </c>
      <c r="T662" s="687" t="b">
        <f>ROUND('T2 ANSP'!F66,$D$662)=ROUND('T3 ANSP'!$D$171,$D$662)</f>
        <v>1</v>
      </c>
    </row>
    <row r="663" spans="1:25" outlineLevel="1">
      <c r="A663" s="684"/>
      <c r="B663" s="684"/>
      <c r="C663" s="697" t="s">
        <v>471</v>
      </c>
      <c r="D663" s="698"/>
      <c r="E663" s="680"/>
      <c r="F663" s="680"/>
      <c r="G663" s="16"/>
      <c r="H663" s="16"/>
      <c r="I663" s="16"/>
      <c r="Q663" s="66">
        <f>ROUND('T2 ANSP'!C66,$D$662)</f>
        <v>0</v>
      </c>
      <c r="R663" s="66">
        <f>ROUND('T2 ANSP'!D66,$D$662)</f>
        <v>0</v>
      </c>
      <c r="S663" s="66">
        <f>ROUND('T2 ANSP'!E66,$D$662)</f>
        <v>0</v>
      </c>
      <c r="T663" s="66">
        <f>ROUND('T2 ANSP'!F66,$D$662)</f>
        <v>0</v>
      </c>
    </row>
    <row r="664" spans="1:25" outlineLevel="1">
      <c r="A664" s="684"/>
      <c r="B664" s="684"/>
      <c r="C664" s="697" t="s">
        <v>472</v>
      </c>
      <c r="D664" s="698"/>
      <c r="E664" s="680"/>
      <c r="F664" s="680"/>
      <c r="G664" s="16"/>
      <c r="H664" s="16"/>
      <c r="I664" s="16"/>
      <c r="Q664" s="66">
        <f>ROUND('T3 ANSP'!$D$168,$D$662)</f>
        <v>0</v>
      </c>
      <c r="R664" s="66">
        <f>ROUND('T3 ANSP'!$D$169,$D$662)</f>
        <v>0</v>
      </c>
      <c r="S664" s="66">
        <f>ROUND('T3 ANSP'!$D$170,$D$662)</f>
        <v>0</v>
      </c>
      <c r="T664" s="66">
        <f>ROUND('T3 ANSP'!$D$171,$D$662)</f>
        <v>0</v>
      </c>
    </row>
    <row r="665" spans="1:25">
      <c r="A665" s="684" t="s">
        <v>487</v>
      </c>
      <c r="B665" s="684" t="s">
        <v>495</v>
      </c>
      <c r="C665" s="694" t="s">
        <v>198</v>
      </c>
      <c r="D665" s="675">
        <v>3</v>
      </c>
      <c r="E665" s="680"/>
      <c r="F665" s="680"/>
      <c r="G665" s="16"/>
      <c r="H665" s="16"/>
      <c r="I665" s="16"/>
      <c r="Q665" s="687" t="b">
        <f>ROUND('T2 ANSP'!C73,$D$665)=ROUND('T3 ANSP'!$D$121+'T3 ANSP'!$D$132+'T3 ANSP'!$D$143+'T3 ANSP'!$D$154,$D$665)</f>
        <v>1</v>
      </c>
      <c r="R665" s="687" t="b">
        <f>ROUND('T2 ANSP'!D73,$D$665)=ROUND('T3 ANSP'!$D$122+'T3 ANSP'!$D$133+'T3 ANSP'!$D$144+'T3 ANSP'!$D$155,$D$665)</f>
        <v>1</v>
      </c>
      <c r="S665" s="687" t="b">
        <f>ROUND('T2 ANSP'!E73,$D$665)=ROUND('T3 ANSP'!$D$123+'T3 ANSP'!$D$134+'T3 ANSP'!$D$145+'T3 ANSP'!$D$156,$D$665)</f>
        <v>1</v>
      </c>
      <c r="T665" s="687" t="b">
        <f>ROUND('T2 ANSP'!F73,$D$665)=ROUND('T3 ANSP'!$D$124+'T3 ANSP'!$D$135+'T3 ANSP'!$D$146+'T3 ANSP'!$D$157,$D$665)</f>
        <v>1</v>
      </c>
    </row>
    <row r="666" spans="1:25" outlineLevel="1">
      <c r="A666" s="684"/>
      <c r="B666" s="684"/>
      <c r="C666" s="697" t="s">
        <v>471</v>
      </c>
      <c r="D666" s="698"/>
      <c r="E666" s="680"/>
      <c r="F666" s="680"/>
      <c r="G666" s="16"/>
      <c r="H666" s="16"/>
      <c r="I666" s="16"/>
      <c r="Q666" s="66">
        <f>ROUND('T2 ANSP'!C73,$D$665)</f>
        <v>0</v>
      </c>
      <c r="R666" s="66">
        <f>ROUND('T2 ANSP'!D73,$D$665)</f>
        <v>0</v>
      </c>
      <c r="S666" s="66">
        <f>ROUND('T2 ANSP'!E73,$D$665)</f>
        <v>0</v>
      </c>
      <c r="T666" s="66">
        <f>ROUND('T2 ANSP'!F73,$D$665)</f>
        <v>0</v>
      </c>
    </row>
    <row r="667" spans="1:25" outlineLevel="1">
      <c r="A667" s="684"/>
      <c r="B667" s="684"/>
      <c r="C667" s="697" t="s">
        <v>472</v>
      </c>
      <c r="D667" s="698"/>
      <c r="E667" s="680"/>
      <c r="F667" s="680"/>
      <c r="G667" s="16"/>
      <c r="H667" s="16"/>
      <c r="I667" s="16"/>
      <c r="Q667" s="66">
        <f>ROUND('T3 ANSP'!$D$121+'T3 ANSP'!$D$132+'T3 ANSP'!$D$143+'T3 ANSP'!$D$154,$D$665)</f>
        <v>0</v>
      </c>
      <c r="R667" s="66">
        <f>ROUND('T3 ANSP'!$D$122+'T3 ANSP'!$D$133+'T3 ANSP'!$D$144+'T3 ANSP'!$D$155,$D$665)</f>
        <v>0</v>
      </c>
      <c r="S667" s="66">
        <f>ROUND('T3 ANSP'!$D$123+'T3 ANSP'!$D$134+'T3 ANSP'!$D$145+'T3 ANSP'!$D$156,$D$665)</f>
        <v>0</v>
      </c>
      <c r="T667" s="66">
        <f>ROUND('T3 ANSP'!$D$124+'T3 ANSP'!$D$135+'T3 ANSP'!$D$146+'T3 ANSP'!$D$157,$D$665)</f>
        <v>0</v>
      </c>
    </row>
    <row r="668" spans="1:25" s="38" customFormat="1" ht="18.75">
      <c r="A668" s="27" t="s">
        <v>13</v>
      </c>
      <c r="B668" s="28" t="s">
        <v>14</v>
      </c>
      <c r="C668" s="29" t="s">
        <v>491</v>
      </c>
      <c r="D668" s="703"/>
      <c r="E668" s="682"/>
      <c r="F668" s="682"/>
      <c r="G668" s="682"/>
      <c r="H668" s="682"/>
      <c r="I668" s="682"/>
      <c r="J668" s="682"/>
      <c r="K668" s="682"/>
      <c r="L668" s="682"/>
      <c r="M668" s="682"/>
      <c r="N668" s="682"/>
      <c r="O668" s="682"/>
      <c r="P668" s="16"/>
      <c r="Q668" s="682"/>
      <c r="R668" s="682"/>
      <c r="S668" s="682"/>
      <c r="T668" s="682"/>
      <c r="W668" s="680"/>
      <c r="X668" s="680"/>
      <c r="Y668" s="680"/>
    </row>
    <row r="669" spans="1:25" s="699" customFormat="1">
      <c r="A669" s="683" t="s">
        <v>423</v>
      </c>
      <c r="B669" s="684" t="s">
        <v>465</v>
      </c>
      <c r="C669" s="694" t="s">
        <v>466</v>
      </c>
      <c r="D669" s="675">
        <v>3</v>
      </c>
      <c r="E669" s="680"/>
      <c r="F669" s="680"/>
      <c r="P669" s="16"/>
      <c r="Q669" s="687" t="b">
        <f>ROUND('T2 MET'!C78-'T2 MET'!C76,$D$669)=ROUND(SUM('T3 MET'!$D$13,'T3 MET'!$D$24,'T3 MET'!$D$31,'T3 MET'!$D$38,'T3 MET'!$D$45,'T3 MET'!$D$52,'T3 MET'!$D$59,'T3 MET'!$D$66,'T3 MET'!$D$82,'T3 MET'!$D$93,'T3 MET'!$D$110,'T3 MET'!$D$121,'T3 MET'!$D$132,'T3 MET'!$D$143,'T3 MET'!$D$154,'T3 MET'!$D$161,'T3 MET'!$D$168),$D$669)</f>
        <v>1</v>
      </c>
      <c r="R669" s="687" t="b">
        <f>ROUND('T2 MET'!D78-'T2 MET'!D76,$D$669)=ROUND(SUM('T3 MET'!$D$14,'T3 MET'!$D$25,'T3 MET'!$D$32,'T3 MET'!$D$39,'T3 MET'!$D$46,'T3 MET'!$D$53,'T3 MET'!$D$60,'T3 MET'!$D$67,'T3 MET'!$D$83,'T3 MET'!$D$94,'T3 MET'!$D$111,'T3 MET'!$D$122,'T3 MET'!$D$133,'T3 MET'!$D$144,'T3 MET'!$D$155,'T3 MET'!$D$162,'T3 MET'!$D$169),$D$669)</f>
        <v>1</v>
      </c>
      <c r="S669" s="687" t="b">
        <f>ROUND('T2 MET'!E78-'T2 MET'!E76,$D$669)=ROUND(SUM('T3 MET'!$D$15,'T3 MET'!$D$26,'T3 MET'!$D$33,'T3 MET'!$D$40,'T3 MET'!$D$47,'T3 MET'!$D$54,'T3 MET'!$D$61,'T3 MET'!$D$68,'T3 MET'!$D$84,'T3 MET'!$D$95,'T3 MET'!$D$112,'T3 MET'!$D$123,'T3 MET'!$D$134,'T3 MET'!$D$145,'T3 MET'!$D$156,'T3 MET'!$D$163,'T3 MET'!$D$170),$D$669)</f>
        <v>1</v>
      </c>
      <c r="T669" s="687" t="b">
        <f>ROUND('T2 MET'!F78-'T2 MET'!F76,$D$669)=ROUND(SUM('T3 MET'!$D$16,'T3 MET'!$D$27,'T3 MET'!$D$34,'T3 MET'!$D$41,'T3 MET'!$D$48,'T3 MET'!$D$55,'T3 MET'!$D$62,'T3 MET'!$D$69,'T3 MET'!$D$85,'T3 MET'!$D$96,'T3 MET'!$D$113,'T3 MET'!$D$124,'T3 MET'!$D$135,'T3 MET'!$D$146,'T3 MET'!$D$157,'T3 MET'!$D$164,'T3 MET'!$D$171),$D$669)</f>
        <v>1</v>
      </c>
      <c r="W669" s="680"/>
      <c r="X669" s="680"/>
      <c r="Y669" s="680"/>
    </row>
    <row r="670" spans="1:25" outlineLevel="1">
      <c r="A670" s="684"/>
      <c r="B670" s="684"/>
      <c r="C670" s="697" t="s">
        <v>467</v>
      </c>
      <c r="D670" s="698"/>
      <c r="E670" s="680"/>
      <c r="F670" s="680"/>
      <c r="G670" s="16"/>
      <c r="H670" s="16"/>
      <c r="I670" s="16"/>
      <c r="Q670" s="66">
        <f>ROUND('T2 MET'!C78-'T2 MET'!C76,$D$669)</f>
        <v>10374.486000000001</v>
      </c>
      <c r="R670" s="66">
        <f>ROUND('T2 MET'!D78-'T2 MET'!D76,$D$669)</f>
        <v>0</v>
      </c>
      <c r="S670" s="66">
        <f>ROUND('T2 MET'!E78-'T2 MET'!E76,$D$669)</f>
        <v>0</v>
      </c>
      <c r="T670" s="66">
        <f>ROUND('T2 MET'!F78-'T2 MET'!F76,$D$669)</f>
        <v>0</v>
      </c>
      <c r="W670" s="680"/>
      <c r="X670" s="680"/>
      <c r="Y670" s="680"/>
    </row>
    <row r="671" spans="1:25" outlineLevel="1">
      <c r="A671" s="684"/>
      <c r="B671" s="684"/>
      <c r="C671" s="697" t="s">
        <v>468</v>
      </c>
      <c r="D671" s="698"/>
      <c r="E671" s="680"/>
      <c r="F671" s="680"/>
      <c r="G671" s="16"/>
      <c r="H671" s="16"/>
      <c r="I671" s="16"/>
      <c r="Q671" s="66">
        <f>ROUND(SUM('T3 MET'!$D$13,'T3 MET'!$D$24,'T3 MET'!$D$31,'T3 MET'!$D$38,'T3 MET'!$D$45,'T3 MET'!$D$52,'T3 MET'!$D$59,'T3 MET'!$D$66,'T3 MET'!$D$82,'T3 MET'!$D$93,'T3 MET'!$D$110,'T3 MET'!$D$121,'T3 MET'!$D$132,'T3 MET'!$D$143,'T3 MET'!$D$154,'T3 MET'!$D$161,'T3 MET'!$D$168),$D$669)</f>
        <v>10374.486000000001</v>
      </c>
      <c r="R671" s="66">
        <f>ROUND(SUM('T3 MET'!$D$14,'T3 MET'!$D$25,'T3 MET'!$D$32,'T3 MET'!$D$39,'T3 MET'!$D$46,'T3 MET'!$D$53,'T3 MET'!$D$60,'T3 MET'!$D$67,'T3 MET'!$D$83,'T3 MET'!$D$94,'T3 MET'!$D$111,'T3 MET'!$D$122,'T3 MET'!$D$133,'T3 MET'!$D$144,'T3 MET'!$D$155,'T3 MET'!$D$162,'T3 MET'!$D$169),$D$669)</f>
        <v>0</v>
      </c>
      <c r="S671" s="66">
        <f>ROUND(SUM('T3 MET'!$D$15,'T3 MET'!$D$26,'T3 MET'!$D$33,'T3 MET'!$D$40,'T3 MET'!$D$47,'T3 MET'!$D$54,'T3 MET'!$D$61,'T3 MET'!$D$68,'T3 MET'!$D$84,'T3 MET'!$D$95,'T3 MET'!$D$112,'T3 MET'!$D$123,'T3 MET'!$D$134,'T3 MET'!$D$145,'T3 MET'!$D$156,'T3 MET'!$D$163,'T3 MET'!$D$170),$D$669)</f>
        <v>0</v>
      </c>
      <c r="T671" s="66">
        <f>ROUND(SUM('T3 MET'!$D$16,'T3 MET'!$D$27,'T3 MET'!$D$34,'T3 MET'!$D$41,'T3 MET'!$D$48,'T3 MET'!$D$55,'T3 MET'!$D$62,'T3 MET'!$D$69,'T3 MET'!$D$85,'T3 MET'!$D$96,'T3 MET'!$D$113,'T3 MET'!$D$124,'T3 MET'!$D$135,'T3 MET'!$D$146,'T3 MET'!$D$157,'T3 MET'!$D$164,'T3 MET'!$D$171),$D$669)</f>
        <v>0</v>
      </c>
      <c r="W671" s="680"/>
      <c r="X671" s="680"/>
      <c r="Y671" s="680"/>
    </row>
    <row r="672" spans="1:25">
      <c r="A672" s="684" t="s">
        <v>394</v>
      </c>
      <c r="B672" s="684" t="s">
        <v>469</v>
      </c>
      <c r="C672" s="694" t="s">
        <v>470</v>
      </c>
      <c r="D672" s="675">
        <v>3</v>
      </c>
      <c r="E672" s="680"/>
      <c r="F672" s="680"/>
      <c r="G672" s="16"/>
      <c r="H672" s="16"/>
      <c r="I672" s="16"/>
      <c r="Q672" s="687" t="b">
        <f>ROUND('T2 MET'!C19,$D$672)=ROUND('T3 MET'!$D$13,$D$672)</f>
        <v>1</v>
      </c>
      <c r="R672" s="687" t="b">
        <f>ROUND('T2 MET'!D19,$D$672)=ROUND('T3 MET'!$D$14,$D$672)</f>
        <v>1</v>
      </c>
      <c r="S672" s="687" t="b">
        <f>ROUND('T2 MET'!E19,$D$672)=ROUND('T3 MET'!$D$15,$D$672)</f>
        <v>1</v>
      </c>
      <c r="T672" s="687" t="b">
        <f>ROUND('T2 MET'!F19,$D$672)=ROUND('T3 MET'!$D$16,$D$672)</f>
        <v>1</v>
      </c>
      <c r="Y672" s="695"/>
    </row>
    <row r="673" spans="1:25" outlineLevel="1">
      <c r="A673" s="684"/>
      <c r="B673" s="684"/>
      <c r="C673" s="697" t="s">
        <v>471</v>
      </c>
      <c r="D673" s="698"/>
      <c r="E673" s="680"/>
      <c r="F673" s="680"/>
      <c r="G673" s="16"/>
      <c r="H673" s="16"/>
      <c r="I673" s="16"/>
      <c r="Q673" s="66">
        <f>ROUND('T2 MET'!C19,$D$672)</f>
        <v>0</v>
      </c>
      <c r="R673" s="66">
        <f>ROUND('T2 MET'!D19,$D$672)</f>
        <v>0</v>
      </c>
      <c r="S673" s="66">
        <f>ROUND('T2 MET'!E19,$D$672)</f>
        <v>0</v>
      </c>
      <c r="T673" s="66">
        <f>ROUND('T2 MET'!F19,$D$672)</f>
        <v>0</v>
      </c>
      <c r="Y673" s="695"/>
    </row>
    <row r="674" spans="1:25" outlineLevel="1">
      <c r="A674" s="684"/>
      <c r="B674" s="684"/>
      <c r="C674" s="697" t="s">
        <v>472</v>
      </c>
      <c r="D674" s="698"/>
      <c r="E674" s="680"/>
      <c r="F674" s="680"/>
      <c r="G674" s="16"/>
      <c r="H674" s="16"/>
      <c r="I674" s="16"/>
      <c r="Q674" s="66">
        <f>ROUND('T3 MET'!$D$13,$D$672)</f>
        <v>0</v>
      </c>
      <c r="R674" s="66">
        <f>ROUND('T3 MET'!$D$14,$D$672)</f>
        <v>0</v>
      </c>
      <c r="S674" s="66">
        <f>ROUND('T3 MET'!$D$15,$D$672)</f>
        <v>0</v>
      </c>
      <c r="T674" s="66">
        <f>ROUND('T3 MET'!$D$16,$D$672)</f>
        <v>0</v>
      </c>
      <c r="Y674" s="695"/>
    </row>
    <row r="675" spans="1:25">
      <c r="A675" s="684" t="s">
        <v>402</v>
      </c>
      <c r="B675" s="684" t="s">
        <v>473</v>
      </c>
      <c r="C675" s="694" t="s">
        <v>474</v>
      </c>
      <c r="D675" s="675">
        <v>3</v>
      </c>
      <c r="E675" s="680"/>
      <c r="F675" s="680"/>
      <c r="G675" s="16"/>
      <c r="H675" s="16"/>
      <c r="I675" s="16"/>
      <c r="Q675" s="687" t="b">
        <f>ROUND('T2 MET'!C28,$D$675)=ROUND('T3 MET'!$D$31+'T3 MET'!$D$38+'T3 MET'!$D$45+'T3 MET'!$D$52+'T3 MET'!$D$59+'T3 MET'!$D$66,$D$675)</f>
        <v>1</v>
      </c>
      <c r="R675" s="687" t="b">
        <f>ROUND('T2 MET'!D28,$D$675)=ROUND('T3 MET'!$D$32+'T3 MET'!$D$39+'T3 MET'!$D$46+'T3 MET'!$D$53+'T3 MET'!$D$60+'T3 MET'!$D$67,$D$675)</f>
        <v>1</v>
      </c>
      <c r="S675" s="687" t="b">
        <f>ROUND('T2 MET'!E28,$D$675)=ROUND('T3 MET'!$D$33+'T3 MET'!$D$40+'T3 MET'!$D$47+'T3 MET'!$D$54+'T3 MET'!$D$61+'T3 MET'!$D$68,$D$675)</f>
        <v>1</v>
      </c>
      <c r="T675" s="687" t="b">
        <f>ROUND('T2 MET'!F28,$D$675)=ROUND('T3 MET'!$D$34+'T3 MET'!$D$41+'T3 MET'!$D$48+'T3 MET'!$D$55+'T3 MET'!$D$62+'T3 MET'!$D$69,$D$675)</f>
        <v>1</v>
      </c>
      <c r="Y675" s="695"/>
    </row>
    <row r="676" spans="1:25" outlineLevel="1">
      <c r="A676" s="684"/>
      <c r="B676" s="684"/>
      <c r="C676" s="697" t="s">
        <v>471</v>
      </c>
      <c r="D676" s="698"/>
      <c r="E676" s="680"/>
      <c r="F676" s="680"/>
      <c r="G676" s="16"/>
      <c r="H676" s="16"/>
      <c r="I676" s="16"/>
      <c r="Q676" s="66">
        <f>ROUND('T2 MET'!C28,$D$675)</f>
        <v>0</v>
      </c>
      <c r="R676" s="66">
        <f>ROUND('T2 MET'!D28,$D$675)</f>
        <v>0</v>
      </c>
      <c r="S676" s="66">
        <f>ROUND('T2 MET'!E28,$D$675)</f>
        <v>0</v>
      </c>
      <c r="T676" s="66">
        <f>ROUND('T2 MET'!F28,$D$675)</f>
        <v>0</v>
      </c>
      <c r="Y676" s="695"/>
    </row>
    <row r="677" spans="1:25" outlineLevel="1">
      <c r="A677" s="684"/>
      <c r="B677" s="684"/>
      <c r="C677" s="697" t="s">
        <v>472</v>
      </c>
      <c r="D677" s="698"/>
      <c r="E677" s="680"/>
      <c r="F677" s="680"/>
      <c r="G677" s="16"/>
      <c r="H677" s="16"/>
      <c r="I677" s="16"/>
      <c r="Q677" s="66">
        <f>ROUND('T3 MET'!$D$31+'T3 MET'!$D$38+'T3 MET'!$D$45+'T3 MET'!$D$52+'T3 MET'!$D$59+'T3 MET'!$D$66,$D$675)</f>
        <v>0</v>
      </c>
      <c r="R677" s="66">
        <f>ROUND('T3 MET'!$D$32+'T3 MET'!$D$39+'T3 MET'!$D$46+'T3 MET'!$D$53+'T3 MET'!$D$60+'T3 MET'!$D$67,$D$675)</f>
        <v>0</v>
      </c>
      <c r="S677" s="66">
        <f>ROUND('T3 MET'!$D$33+'T3 MET'!$D$40+'T3 MET'!$D$47+'T3 MET'!$D$54+'T3 MET'!$D$61+'T3 MET'!$D$68,$D$675)</f>
        <v>0</v>
      </c>
      <c r="T677" s="66">
        <f>ROUND('T3 MET'!$D$34+'T3 MET'!$D$41+'T3 MET'!$D$48+'T3 MET'!$D$55+'T3 MET'!$D$62+'T3 MET'!$D$69,$D$675)</f>
        <v>0</v>
      </c>
      <c r="Y677" s="695"/>
    </row>
    <row r="678" spans="1:25">
      <c r="A678" s="684" t="s">
        <v>399</v>
      </c>
      <c r="B678" s="684" t="s">
        <v>475</v>
      </c>
      <c r="C678" s="694" t="s">
        <v>476</v>
      </c>
      <c r="D678" s="675">
        <v>3</v>
      </c>
      <c r="E678" s="680"/>
      <c r="F678" s="680"/>
      <c r="G678" s="16"/>
      <c r="H678" s="16"/>
      <c r="I678" s="16"/>
      <c r="Q678" s="687" t="b">
        <f>ROUND('T2 MET'!C41,$D$678)=ROUND('T3 MET'!$D$24,$D$678)</f>
        <v>1</v>
      </c>
      <c r="R678" s="687" t="b">
        <f>ROUND('T2 MET'!D41,$D$678)=ROUND('T3 MET'!$D$25,$D$678)</f>
        <v>1</v>
      </c>
      <c r="S678" s="687" t="b">
        <f>ROUND('T2 MET'!E41,$D$678)=ROUND('T3 MET'!$D$26,$D$678)</f>
        <v>1</v>
      </c>
      <c r="T678" s="687" t="b">
        <f>ROUND('T2 MET'!F41,$D$678)=ROUND('T3 MET'!$D$27,$D$678)</f>
        <v>1</v>
      </c>
      <c r="Y678" s="695"/>
    </row>
    <row r="679" spans="1:25" outlineLevel="1">
      <c r="A679" s="684"/>
      <c r="B679" s="684"/>
      <c r="C679" s="697" t="s">
        <v>471</v>
      </c>
      <c r="D679" s="698"/>
      <c r="E679" s="680"/>
      <c r="F679" s="680"/>
      <c r="G679" s="16"/>
      <c r="H679" s="16"/>
      <c r="I679" s="16"/>
      <c r="Q679" s="66">
        <f>ROUND('T2 MET'!C41,$D$678)</f>
        <v>0</v>
      </c>
      <c r="R679" s="66">
        <f>ROUND('T2 MET'!D41,$D$678)</f>
        <v>0</v>
      </c>
      <c r="S679" s="66">
        <f>ROUND('T2 MET'!E41,$D$678)</f>
        <v>0</v>
      </c>
      <c r="T679" s="66">
        <f>ROUND('T2 MET'!F41,$D$678)</f>
        <v>0</v>
      </c>
      <c r="Y679" s="695"/>
    </row>
    <row r="680" spans="1:25" outlineLevel="1">
      <c r="A680" s="684"/>
      <c r="B680" s="684"/>
      <c r="C680" s="697" t="s">
        <v>472</v>
      </c>
      <c r="D680" s="698"/>
      <c r="E680" s="680"/>
      <c r="F680" s="680"/>
      <c r="G680" s="16"/>
      <c r="H680" s="16"/>
      <c r="I680" s="16"/>
      <c r="Q680" s="66">
        <f>ROUND('T3 MET'!$D$24,$D$678)</f>
        <v>0</v>
      </c>
      <c r="R680" s="66">
        <f>ROUND('T3 MET'!$D$25,$D$678)</f>
        <v>0</v>
      </c>
      <c r="S680" s="66">
        <f>ROUND('T3 MET'!$D$26,$D$678)</f>
        <v>0</v>
      </c>
      <c r="T680" s="66">
        <f>ROUND('T3 MET'!$D$27,$D$678)</f>
        <v>0</v>
      </c>
      <c r="Y680" s="695"/>
    </row>
    <row r="681" spans="1:25">
      <c r="A681" s="684" t="s">
        <v>411</v>
      </c>
      <c r="B681" s="684" t="s">
        <v>477</v>
      </c>
      <c r="C681" s="694" t="s">
        <v>478</v>
      </c>
      <c r="D681" s="675">
        <v>3</v>
      </c>
      <c r="E681" s="680"/>
      <c r="F681" s="680"/>
      <c r="G681" s="16"/>
      <c r="H681" s="16"/>
      <c r="I681" s="16"/>
      <c r="Q681" s="687" t="b">
        <f>ROUND('T2 MET'!C46,$D$681)=ROUND('T3 MET'!$D$110,$D$681)</f>
        <v>1</v>
      </c>
      <c r="R681" s="687" t="b">
        <f>ROUND('T2 MET'!D46,$D$681)=ROUND('T3 MET'!$D$111,$D$681)</f>
        <v>1</v>
      </c>
      <c r="S681" s="687" t="b">
        <f>ROUND('T2 MET'!E46,$D$681)=ROUND('T3 MET'!$D$112,$D$681)</f>
        <v>1</v>
      </c>
      <c r="T681" s="687" t="b">
        <f>ROUND('T2 MET'!F46,$D$681)=ROUND('T3 MET'!$D$113,$D$681)</f>
        <v>1</v>
      </c>
    </row>
    <row r="682" spans="1:25" outlineLevel="1">
      <c r="A682" s="684"/>
      <c r="B682" s="684"/>
      <c r="C682" s="697" t="s">
        <v>471</v>
      </c>
      <c r="D682" s="698"/>
      <c r="E682" s="680"/>
      <c r="F682" s="680"/>
      <c r="G682" s="16"/>
      <c r="H682" s="16"/>
      <c r="I682" s="16"/>
      <c r="Q682" s="66">
        <f>ROUND('T2 MET'!C46,$D$681)</f>
        <v>0</v>
      </c>
      <c r="R682" s="66">
        <f>ROUND('T2 MET'!D46,$D$681)</f>
        <v>0</v>
      </c>
      <c r="S682" s="66">
        <f>ROUND('T2 MET'!E46,$D$681)</f>
        <v>0</v>
      </c>
      <c r="T682" s="66">
        <f>ROUND('T2 MET'!F46,$D$681)</f>
        <v>0</v>
      </c>
    </row>
    <row r="683" spans="1:25" outlineLevel="1">
      <c r="A683" s="684"/>
      <c r="B683" s="684"/>
      <c r="C683" s="697" t="s">
        <v>472</v>
      </c>
      <c r="D683" s="698"/>
      <c r="E683" s="680"/>
      <c r="F683" s="680"/>
      <c r="G683" s="16"/>
      <c r="H683" s="16"/>
      <c r="I683" s="16"/>
      <c r="Q683" s="66">
        <f>ROUND('T3 MET'!$D$110,$D$681)</f>
        <v>0</v>
      </c>
      <c r="R683" s="66">
        <f>ROUND('T3 MET'!$D$111,$D$681)</f>
        <v>0</v>
      </c>
      <c r="S683" s="66">
        <f>ROUND('T3 MET'!$D$112,$D$681)</f>
        <v>0</v>
      </c>
      <c r="T683" s="66">
        <f>ROUND('T3 MET'!$D$113,$D$681)</f>
        <v>0</v>
      </c>
    </row>
    <row r="684" spans="1:25">
      <c r="A684" s="684" t="s">
        <v>405</v>
      </c>
      <c r="B684" s="684" t="s">
        <v>479</v>
      </c>
      <c r="C684" s="694" t="s">
        <v>480</v>
      </c>
      <c r="D684" s="675">
        <v>3</v>
      </c>
      <c r="E684" s="680"/>
      <c r="F684" s="680"/>
      <c r="G684" s="16"/>
      <c r="H684" s="16"/>
      <c r="I684" s="16"/>
      <c r="Q684" s="687" t="b">
        <f>ROUND('T2 MET'!C54,$D$684)=ROUND('T3 MET'!$D$82,$D$684)</f>
        <v>1</v>
      </c>
      <c r="R684" s="687" t="b">
        <f>ROUND('T2 MET'!D54,$D$684)=ROUND('T3 MET'!$D$83,$D$684)</f>
        <v>1</v>
      </c>
      <c r="S684" s="687" t="b">
        <f>ROUND('T2 MET'!E54,$D$684)=ROUND('T3 MET'!$D$84,$D$684)</f>
        <v>1</v>
      </c>
      <c r="T684" s="687" t="b">
        <f>ROUND('T2 MET'!F54,$D$684)=ROUND('T3 MET'!$D$85,$D$684)</f>
        <v>1</v>
      </c>
      <c r="Y684" s="695"/>
    </row>
    <row r="685" spans="1:25" outlineLevel="1">
      <c r="A685" s="684"/>
      <c r="B685" s="684"/>
      <c r="C685" s="697" t="s">
        <v>471</v>
      </c>
      <c r="D685" s="698"/>
      <c r="E685" s="680"/>
      <c r="F685" s="680"/>
      <c r="G685" s="16"/>
      <c r="H685" s="16"/>
      <c r="I685" s="16"/>
      <c r="Q685" s="66">
        <f>ROUND('T2 MET'!C54,$D$684)</f>
        <v>0</v>
      </c>
      <c r="R685" s="66">
        <f>ROUND('T2 MET'!D54,$D$684)</f>
        <v>0</v>
      </c>
      <c r="S685" s="66">
        <f>ROUND('T2 MET'!E54,$D$684)</f>
        <v>0</v>
      </c>
      <c r="T685" s="66">
        <f>ROUND('T2 MET'!F54,$D$684)</f>
        <v>0</v>
      </c>
      <c r="Y685" s="695"/>
    </row>
    <row r="686" spans="1:25" outlineLevel="1">
      <c r="A686" s="684"/>
      <c r="B686" s="684"/>
      <c r="C686" s="697" t="s">
        <v>472</v>
      </c>
      <c r="D686" s="698"/>
      <c r="E686" s="680"/>
      <c r="F686" s="680"/>
      <c r="G686" s="16"/>
      <c r="H686" s="16"/>
      <c r="I686" s="16"/>
      <c r="Q686" s="66">
        <f>ROUND('T3 MET'!$D$82,$D$684)</f>
        <v>0</v>
      </c>
      <c r="R686" s="66">
        <f>ROUND('T3 MET'!$D$83,$D$684)</f>
        <v>0</v>
      </c>
      <c r="S686" s="66">
        <f>ROUND('T3 MET'!$D$84,$D$684)</f>
        <v>0</v>
      </c>
      <c r="T686" s="66">
        <f>ROUND('T3 MET'!$D$85,$D$684)</f>
        <v>0</v>
      </c>
      <c r="Y686" s="695"/>
    </row>
    <row r="687" spans="1:25">
      <c r="A687" s="684" t="s">
        <v>408</v>
      </c>
      <c r="B687" s="684" t="s">
        <v>481</v>
      </c>
      <c r="C687" s="694" t="s">
        <v>191</v>
      </c>
      <c r="D687" s="675">
        <v>3</v>
      </c>
      <c r="E687" s="680"/>
      <c r="F687" s="680"/>
      <c r="G687" s="16"/>
      <c r="H687" s="16"/>
      <c r="I687" s="16"/>
      <c r="Q687" s="687" t="b">
        <f>ROUND('T2 MET'!C59,$D$687)=ROUND('T3 MET'!$D$93,$D$687)</f>
        <v>1</v>
      </c>
      <c r="R687" s="687" t="b">
        <f>ROUND('T2 MET'!D59,$D$687)=ROUND('T3 MET'!$D$94,$D$687)</f>
        <v>1</v>
      </c>
      <c r="S687" s="687" t="b">
        <f>ROUND('T2 MET'!E59,$D$687)=ROUND('T3 MET'!$D$95,$D$687)</f>
        <v>1</v>
      </c>
      <c r="T687" s="687" t="b">
        <f>ROUND('T2 MET'!F59,$D$687)=ROUND('T3 MET'!$D$96,$D$687)</f>
        <v>1</v>
      </c>
      <c r="Y687" s="695"/>
    </row>
    <row r="688" spans="1:25" outlineLevel="1">
      <c r="A688" s="684"/>
      <c r="B688" s="684"/>
      <c r="C688" s="697" t="s">
        <v>471</v>
      </c>
      <c r="D688" s="698"/>
      <c r="E688" s="680"/>
      <c r="F688" s="680"/>
      <c r="G688" s="16"/>
      <c r="H688" s="16"/>
      <c r="I688" s="16"/>
      <c r="Q688" s="66">
        <f>ROUND('T2 MET'!C59,$D$687)</f>
        <v>0</v>
      </c>
      <c r="R688" s="66">
        <f>ROUND('T2 MET'!D59,$D$687)</f>
        <v>0</v>
      </c>
      <c r="S688" s="66">
        <f>ROUND('T2 MET'!E59,$D$687)</f>
        <v>0</v>
      </c>
      <c r="T688" s="66">
        <f>ROUND('T2 MET'!F59,$D$687)</f>
        <v>0</v>
      </c>
      <c r="Y688" s="695"/>
    </row>
    <row r="689" spans="1:25" outlineLevel="1">
      <c r="A689" s="684"/>
      <c r="B689" s="684"/>
      <c r="C689" s="697" t="s">
        <v>472</v>
      </c>
      <c r="D689" s="698"/>
      <c r="E689" s="680"/>
      <c r="F689" s="680"/>
      <c r="G689" s="16"/>
      <c r="H689" s="16"/>
      <c r="I689" s="16"/>
      <c r="Q689" s="66">
        <f>ROUND('T3 MET'!$D$93,$D$687)</f>
        <v>0</v>
      </c>
      <c r="R689" s="66">
        <f>ROUND('T3 MET'!$D$94,$D$687)</f>
        <v>0</v>
      </c>
      <c r="S689" s="66">
        <f>ROUND('T3 MET'!$D$95,$D$687)</f>
        <v>0</v>
      </c>
      <c r="T689" s="66">
        <f>ROUND('T3 MET'!$D$96,$D$687)</f>
        <v>0</v>
      </c>
      <c r="Y689" s="695"/>
    </row>
    <row r="690" spans="1:25">
      <c r="A690" s="684" t="s">
        <v>420</v>
      </c>
      <c r="B690" s="684" t="s">
        <v>482</v>
      </c>
      <c r="C690" s="694" t="s">
        <v>483</v>
      </c>
      <c r="D690" s="675">
        <v>3</v>
      </c>
      <c r="E690" s="680"/>
      <c r="F690" s="680"/>
      <c r="G690" s="16"/>
      <c r="H690" s="16"/>
      <c r="I690" s="16"/>
      <c r="Q690" s="687" t="b">
        <f>ROUND('T2 MET'!C63,$D$690)=ROUND('T3 MET'!$D$161,$D$690)</f>
        <v>1</v>
      </c>
      <c r="R690" s="687" t="b">
        <f>ROUND('T2 MET'!D63,$D$690)=ROUND('T3 MET'!$D$162,$D$690)</f>
        <v>1</v>
      </c>
      <c r="S690" s="687" t="b">
        <f>ROUND('T2 MET'!E63,$D$690)=ROUND('T3 MET'!$D$163,$D$690)</f>
        <v>1</v>
      </c>
      <c r="T690" s="687" t="b">
        <f>ROUND('T2 MET'!F63,$D$690)=ROUND('T3 MET'!$D$164,$D$690)</f>
        <v>1</v>
      </c>
    </row>
    <row r="691" spans="1:25" outlineLevel="1">
      <c r="A691" s="684"/>
      <c r="B691" s="684"/>
      <c r="C691" s="697" t="s">
        <v>471</v>
      </c>
      <c r="D691" s="698"/>
      <c r="E691" s="680"/>
      <c r="F691" s="680"/>
      <c r="G691" s="16"/>
      <c r="H691" s="16"/>
      <c r="I691" s="16"/>
      <c r="Q691" s="66">
        <f>ROUND('T2 MET'!C63,$D$690)</f>
        <v>10374.486000000001</v>
      </c>
      <c r="R691" s="66">
        <f>ROUND('T2 MET'!D63,$D$690)</f>
        <v>0</v>
      </c>
      <c r="S691" s="66">
        <f>ROUND('T2 MET'!E63,$D$690)</f>
        <v>0</v>
      </c>
      <c r="T691" s="66">
        <f>ROUND('T2 MET'!F63,$D$690)</f>
        <v>0</v>
      </c>
    </row>
    <row r="692" spans="1:25" outlineLevel="1">
      <c r="A692" s="684"/>
      <c r="B692" s="684"/>
      <c r="C692" s="697" t="s">
        <v>472</v>
      </c>
      <c r="D692" s="698"/>
      <c r="E692" s="680"/>
      <c r="F692" s="680"/>
      <c r="G692" s="16"/>
      <c r="H692" s="16"/>
      <c r="I692" s="16"/>
      <c r="Q692" s="66">
        <f>ROUND('T3 MET'!$D$161,$D$690)</f>
        <v>10374.486000000001</v>
      </c>
      <c r="R692" s="66">
        <f>ROUND('T3 MET'!$D$162,$D$690)</f>
        <v>0</v>
      </c>
      <c r="S692" s="66">
        <f>ROUND('T3 MET'!$D$163,$D$690)</f>
        <v>0</v>
      </c>
      <c r="T692" s="66">
        <f>ROUND('T3 MET'!$D$164,$D$690)</f>
        <v>0</v>
      </c>
    </row>
    <row r="693" spans="1:25">
      <c r="A693" s="684" t="s">
        <v>484</v>
      </c>
      <c r="B693" s="684" t="s">
        <v>485</v>
      </c>
      <c r="C693" s="694" t="s">
        <v>486</v>
      </c>
      <c r="D693" s="675">
        <v>3</v>
      </c>
      <c r="E693" s="680"/>
      <c r="F693" s="680"/>
      <c r="G693" s="16"/>
      <c r="H693" s="16"/>
      <c r="I693" s="16"/>
      <c r="Q693" s="687" t="b">
        <f>ROUND('T2 MET'!C66,$D$693)=ROUND('T3 MET'!$D$168,$D$693)</f>
        <v>1</v>
      </c>
      <c r="R693" s="687" t="b">
        <f>ROUND('T2 MET'!D66,$D$693)=ROUND('T3 MET'!$D$169,$D$693)</f>
        <v>1</v>
      </c>
      <c r="S693" s="687" t="b">
        <f>ROUND('T2 MET'!E66,$D$693)=ROUND('T3 MET'!$D$170,$D$693)</f>
        <v>1</v>
      </c>
      <c r="T693" s="687" t="b">
        <f>ROUND('T2 MET'!F66,$D$693)=ROUND('T3 MET'!$D$171,$D$693)</f>
        <v>1</v>
      </c>
    </row>
    <row r="694" spans="1:25" outlineLevel="1">
      <c r="A694" s="684"/>
      <c r="B694" s="684"/>
      <c r="C694" s="697" t="s">
        <v>471</v>
      </c>
      <c r="D694" s="698"/>
      <c r="E694" s="680"/>
      <c r="F694" s="680"/>
      <c r="G694" s="16"/>
      <c r="H694" s="16"/>
      <c r="I694" s="16"/>
      <c r="Q694" s="66">
        <f>ROUND('T2 MET'!C66,$D$693)</f>
        <v>0</v>
      </c>
      <c r="R694" s="66">
        <f>ROUND('T2 MET'!D66,$D$693)</f>
        <v>0</v>
      </c>
      <c r="S694" s="66">
        <f>ROUND('T2 MET'!E66,$D$693)</f>
        <v>0</v>
      </c>
      <c r="T694" s="66">
        <f>ROUND('T2 MET'!F66,$D$693)</f>
        <v>0</v>
      </c>
    </row>
    <row r="695" spans="1:25" outlineLevel="1">
      <c r="A695" s="684"/>
      <c r="B695" s="684"/>
      <c r="C695" s="697" t="s">
        <v>472</v>
      </c>
      <c r="D695" s="698"/>
      <c r="E695" s="680"/>
      <c r="F695" s="680"/>
      <c r="G695" s="16"/>
      <c r="H695" s="16"/>
      <c r="I695" s="16"/>
      <c r="Q695" s="66">
        <f>ROUND('T3 MET'!$D$168,$D$693)</f>
        <v>0</v>
      </c>
      <c r="R695" s="66">
        <f>ROUND('T3 MET'!$D$169,$D$693)</f>
        <v>0</v>
      </c>
      <c r="S695" s="66">
        <f>ROUND('T3 MET'!$D$170,$D$693)</f>
        <v>0</v>
      </c>
      <c r="T695" s="66">
        <f>ROUND('T3 MET'!$D$171,$D$693)</f>
        <v>0</v>
      </c>
    </row>
    <row r="696" spans="1:25">
      <c r="A696" s="684" t="s">
        <v>487</v>
      </c>
      <c r="B696" s="684" t="s">
        <v>495</v>
      </c>
      <c r="C696" s="694" t="s">
        <v>198</v>
      </c>
      <c r="D696" s="675">
        <v>3</v>
      </c>
      <c r="E696" s="680"/>
      <c r="F696" s="680"/>
      <c r="G696" s="16"/>
      <c r="H696" s="16"/>
      <c r="I696" s="16"/>
      <c r="Q696" s="687" t="b">
        <f>ROUND('T2 MET'!C73,$D$696)=ROUND('T3 MET'!$D$121+'T3 MET'!$D$132+'T3 MET'!$D$143+'T3 MET'!$D$154,$D$696)</f>
        <v>1</v>
      </c>
      <c r="R696" s="687" t="b">
        <f>ROUND('T2 MET'!D73,$D$696)=ROUND('T3 MET'!$D$122+'T3 MET'!$D$133+'T3 MET'!$D$144+'T3 MET'!$D$155,$D$696)</f>
        <v>1</v>
      </c>
      <c r="S696" s="687" t="b">
        <f>ROUND('T2 MET'!E73,$D$696)=ROUND('T3 MET'!$D$123+'T3 MET'!$D$134+'T3 MET'!$D$145+'T3 MET'!$D$156,$D$696)</f>
        <v>1</v>
      </c>
      <c r="T696" s="687" t="b">
        <f>ROUND('T2 MET'!F73,$D$696)=ROUND('T3 MET'!$D$124+'T3 MET'!$D$135+'T3 MET'!$D$146+'T3 MET'!$D$157,$D$696)</f>
        <v>1</v>
      </c>
    </row>
    <row r="697" spans="1:25" outlineLevel="1">
      <c r="A697" s="684"/>
      <c r="B697" s="684"/>
      <c r="C697" s="697" t="s">
        <v>471</v>
      </c>
      <c r="D697" s="698"/>
      <c r="E697" s="680"/>
      <c r="F697" s="680"/>
      <c r="G697" s="16"/>
      <c r="H697" s="16"/>
      <c r="I697" s="16"/>
      <c r="Q697" s="66">
        <f>ROUND('T2 MET'!C73,$D$696)</f>
        <v>0</v>
      </c>
      <c r="R697" s="66">
        <f>ROUND('T2 MET'!D73,$D$696)</f>
        <v>0</v>
      </c>
      <c r="S697" s="66">
        <f>ROUND('T2 MET'!E73,$D$696)</f>
        <v>0</v>
      </c>
      <c r="T697" s="66">
        <f>ROUND('T2 MET'!F73,$D$696)</f>
        <v>0</v>
      </c>
    </row>
    <row r="698" spans="1:25" outlineLevel="1">
      <c r="A698" s="684"/>
      <c r="B698" s="684"/>
      <c r="C698" s="697" t="s">
        <v>472</v>
      </c>
      <c r="D698" s="698"/>
      <c r="E698" s="680"/>
      <c r="F698" s="680"/>
      <c r="G698" s="16"/>
      <c r="H698" s="16"/>
      <c r="I698" s="16"/>
      <c r="Q698" s="66">
        <f>ROUND('T3 MET'!$D$121+'T3 MET'!$D$132+'T3 MET'!$D$143+'T3 MET'!$D$154,$D$696)</f>
        <v>0</v>
      </c>
      <c r="R698" s="66">
        <f>ROUND('T3 MET'!$D$122+'T3 MET'!$D$133+'T3 MET'!$D$144+'T3 MET'!$D$155,$D$696)</f>
        <v>0</v>
      </c>
      <c r="S698" s="66">
        <f>ROUND('T3 MET'!$D$123+'T3 MET'!$D$134+'T3 MET'!$D$145+'T3 MET'!$D$156,$D$696)</f>
        <v>0</v>
      </c>
      <c r="T698" s="66">
        <f>ROUND('T3 MET'!$D$124+'T3 MET'!$D$135+'T3 MET'!$D$146+'T3 MET'!$D$157,$D$696)</f>
        <v>0</v>
      </c>
    </row>
    <row r="699" spans="1:25" s="38" customFormat="1" ht="18.75">
      <c r="A699" s="27" t="s">
        <v>13</v>
      </c>
      <c r="B699" s="28" t="s">
        <v>14</v>
      </c>
      <c r="C699" s="29" t="s">
        <v>492</v>
      </c>
      <c r="D699" s="703"/>
      <c r="E699" s="682"/>
      <c r="F699" s="682"/>
      <c r="G699" s="682"/>
      <c r="H699" s="682"/>
      <c r="I699" s="682"/>
      <c r="J699" s="682"/>
      <c r="K699" s="682"/>
      <c r="L699" s="682"/>
      <c r="M699" s="682"/>
      <c r="N699" s="682"/>
      <c r="O699" s="682"/>
      <c r="P699" s="16"/>
      <c r="Q699" s="682"/>
      <c r="R699" s="682"/>
      <c r="S699" s="682"/>
      <c r="T699" s="682"/>
      <c r="W699" s="680"/>
      <c r="X699" s="680"/>
      <c r="Y699" s="680"/>
    </row>
    <row r="700" spans="1:25" s="699" customFormat="1">
      <c r="A700" s="683" t="s">
        <v>423</v>
      </c>
      <c r="B700" s="684" t="s">
        <v>465</v>
      </c>
      <c r="C700" s="694" t="s">
        <v>466</v>
      </c>
      <c r="D700" s="675">
        <v>3</v>
      </c>
      <c r="E700" s="680"/>
      <c r="F700" s="680"/>
      <c r="P700" s="16"/>
      <c r="Q700" s="687" t="b">
        <f>ROUND('T2 NSA'!C78-'T2 NSA'!C76,$D$700)=ROUND(SUM('T3 NSA'!$D$13,'T3 NSA'!$D$24,'T3 NSA'!$D$31,'T3 NSA'!$D$38,'T3 NSA'!$D$45,'T3 NSA'!$D$52,'T3 NSA'!$D$59,'T3 NSA'!$D$66,'T3 NSA'!$D$82,'T3 NSA'!$D$93,'T3 NSA'!$D$110,'T3 NSA'!$D$121,'T3 NSA'!$D$132,'T3 NSA'!$D$143,'T3 NSA'!$D$154,'T3 NSA'!$D$161,'T3 NSA'!$D$168),$D$700)</f>
        <v>1</v>
      </c>
      <c r="R700" s="687" t="b">
        <f>ROUND('T2 NSA'!D78-'T2 NSA'!D76,$D$700)=ROUND(SUM('T3 NSA'!$D$14,'T3 NSA'!$D$25,'T3 NSA'!$D$32,'T3 NSA'!$D$39,'T3 NSA'!$D$46,'T3 NSA'!$D$53,'T3 NSA'!$D$60,'T3 NSA'!$D$67,'T3 NSA'!$D$83,'T3 NSA'!$D$94,'T3 NSA'!$D$111,'T3 NSA'!$D$122,'T3 NSA'!$D$133,'T3 NSA'!$D$144,'T3 NSA'!$D$155,'T3 NSA'!$D$162,'T3 NSA'!$D$169),$D$700)</f>
        <v>1</v>
      </c>
      <c r="S700" s="687" t="b">
        <f>ROUND('T2 NSA'!E78-'T2 NSA'!E76,$D$700)=ROUND(SUM('T3 NSA'!$D$15,'T3 NSA'!$D$26,'T3 NSA'!$D$33,'T3 NSA'!$D$40,'T3 NSA'!$D$47,'T3 NSA'!$D$54,'T3 NSA'!$D$61,'T3 NSA'!$D$68,'T3 NSA'!$D$84,'T3 NSA'!$D$95,'T3 NSA'!$D$112,'T3 NSA'!$D$123,'T3 NSA'!$D$134,'T3 NSA'!$D$145,'T3 NSA'!$D$156,'T3 NSA'!$D$163,'T3 NSA'!$D$170),$D$700)</f>
        <v>1</v>
      </c>
      <c r="T700" s="687" t="b">
        <f>ROUND('T2 NSA'!F78-'T2 NSA'!F76,$D$700)=ROUND(SUM('T3 NSA'!$D$16,'T3 NSA'!$D$27,'T3 NSA'!$D$34,'T3 NSA'!$D$41,'T3 NSA'!$D$48,'T3 NSA'!$D$55,'T3 NSA'!$D$62,'T3 NSA'!$D$69,'T3 NSA'!$D$85,'T3 NSA'!$D$96,'T3 NSA'!$D$113,'T3 NSA'!$D$124,'T3 NSA'!$D$135,'T3 NSA'!$D$146,'T3 NSA'!$D$157,'T3 NSA'!$D$164,'T3 NSA'!$D$171),$D$700)</f>
        <v>1</v>
      </c>
      <c r="W700" s="680"/>
      <c r="X700" s="680"/>
      <c r="Y700" s="680"/>
    </row>
    <row r="701" spans="1:25" outlineLevel="1">
      <c r="A701" s="684"/>
      <c r="B701" s="684"/>
      <c r="C701" s="697" t="s">
        <v>467</v>
      </c>
      <c r="D701" s="698"/>
      <c r="E701" s="680"/>
      <c r="F701" s="680"/>
      <c r="G701" s="16"/>
      <c r="H701" s="16"/>
      <c r="I701" s="16"/>
      <c r="Q701" s="66">
        <f>ROUND('T2 NSA'!C78-'T2 NSA'!C76,$D$700)</f>
        <v>502.327</v>
      </c>
      <c r="R701" s="66">
        <f>ROUND('T2 NSA'!D78-'T2 NSA'!D76,$D$700)</f>
        <v>0</v>
      </c>
      <c r="S701" s="66">
        <f>ROUND('T2 NSA'!E78-'T2 NSA'!E76,$D$700)</f>
        <v>0</v>
      </c>
      <c r="T701" s="66">
        <f>ROUND('T2 NSA'!F78-'T2 NSA'!F76,$D$700)</f>
        <v>0</v>
      </c>
      <c r="W701" s="680"/>
      <c r="X701" s="680"/>
      <c r="Y701" s="680"/>
    </row>
    <row r="702" spans="1:25" outlineLevel="1">
      <c r="A702" s="684"/>
      <c r="B702" s="684"/>
      <c r="C702" s="697" t="s">
        <v>468</v>
      </c>
      <c r="D702" s="698"/>
      <c r="E702" s="680"/>
      <c r="F702" s="680"/>
      <c r="G702" s="16"/>
      <c r="H702" s="16"/>
      <c r="I702" s="16"/>
      <c r="Q702" s="66">
        <f>ROUND(SUM('T3 NSA'!$D$13,'T3 NSA'!$D$24,'T3 NSA'!$D$31,'T3 NSA'!$D$38,'T3 NSA'!$D$45,'T3 NSA'!$D$52,'T3 NSA'!$D$59,'T3 NSA'!$D$66,'T3 NSA'!$D$82,'T3 NSA'!$D$93,'T3 NSA'!$D$110,'T3 NSA'!$D$121,'T3 NSA'!$D$132,'T3 NSA'!$D$143,'T3 NSA'!$D$154,'T3 NSA'!$D$161,'T3 NSA'!$D$168),$D$700)</f>
        <v>502.327</v>
      </c>
      <c r="R702" s="66">
        <f>ROUND(SUM('T3 NSA'!$D$14,'T3 NSA'!$D$25,'T3 NSA'!$D$32,'T3 NSA'!$D$39,'T3 NSA'!$D$46,'T3 NSA'!$D$53,'T3 NSA'!$D$60,'T3 NSA'!$D$67,'T3 NSA'!$D$83,'T3 NSA'!$D$94,'T3 NSA'!$D$111,'T3 NSA'!$D$122,'T3 NSA'!$D$133,'T3 NSA'!$D$144,'T3 NSA'!$D$155,'T3 NSA'!$D$162,'T3 NSA'!$D$169),$D$700)</f>
        <v>0</v>
      </c>
      <c r="S702" s="66">
        <f>ROUND(SUM('T3 NSA'!$D$15,'T3 NSA'!$D$26,'T3 NSA'!$D$33,'T3 NSA'!$D$40,'T3 NSA'!$D$47,'T3 NSA'!$D$54,'T3 NSA'!$D$61,'T3 NSA'!$D$68,'T3 NSA'!$D$84,'T3 NSA'!$D$95,'T3 NSA'!$D$112,'T3 NSA'!$D$123,'T3 NSA'!$D$134,'T3 NSA'!$D$145,'T3 NSA'!$D$156,'T3 NSA'!$D$163,'T3 NSA'!$D$170),$D$700)</f>
        <v>0</v>
      </c>
      <c r="T702" s="66">
        <f>ROUND(SUM('T3 NSA'!$D$16,'T3 NSA'!$D$27,'T3 NSA'!$D$34,'T3 NSA'!$D$41,'T3 NSA'!$D$48,'T3 NSA'!$D$55,'T3 NSA'!$D$62,'T3 NSA'!$D$69,'T3 NSA'!$D$85,'T3 NSA'!$D$96,'T3 NSA'!$D$113,'T3 NSA'!$D$124,'T3 NSA'!$D$135,'T3 NSA'!$D$146,'T3 NSA'!$D$157,'T3 NSA'!$D$164,'T3 NSA'!$D$171),$D$700)</f>
        <v>0</v>
      </c>
      <c r="W702" s="680"/>
      <c r="X702" s="680"/>
      <c r="Y702" s="680"/>
    </row>
    <row r="703" spans="1:25">
      <c r="A703" s="684" t="s">
        <v>394</v>
      </c>
      <c r="B703" s="684" t="s">
        <v>469</v>
      </c>
      <c r="C703" s="694" t="s">
        <v>470</v>
      </c>
      <c r="D703" s="675">
        <v>3</v>
      </c>
      <c r="E703" s="680"/>
      <c r="F703" s="680"/>
      <c r="G703" s="16"/>
      <c r="H703" s="16"/>
      <c r="I703" s="16"/>
      <c r="Q703" s="687" t="b">
        <f>ROUND('T2 NSA'!C19,$D$703)=ROUND('T3 NSA'!$D$13,$D$703)</f>
        <v>1</v>
      </c>
      <c r="R703" s="687" t="b">
        <f>ROUND('T2 NSA'!D19,$D$703)=ROUND('T3 NSA'!$D$14,$D$703)</f>
        <v>1</v>
      </c>
      <c r="S703" s="687" t="b">
        <f>ROUND('T2 NSA'!E19,$D$703)=ROUND('T3 NSA'!$D$15,$D$703)</f>
        <v>1</v>
      </c>
      <c r="T703" s="687" t="b">
        <f>ROUND('T2 NSA'!F19,$D$703)=ROUND('T3 NSA'!$D$16,$D$703)</f>
        <v>1</v>
      </c>
      <c r="Y703" s="695"/>
    </row>
    <row r="704" spans="1:25" outlineLevel="1">
      <c r="A704" s="684"/>
      <c r="B704" s="684"/>
      <c r="C704" s="697" t="s">
        <v>471</v>
      </c>
      <c r="D704" s="698"/>
      <c r="E704" s="680"/>
      <c r="F704" s="680"/>
      <c r="G704" s="16"/>
      <c r="H704" s="16"/>
      <c r="I704" s="16"/>
      <c r="Q704" s="66">
        <f>ROUND('T2 NSA'!C19,$D$703)</f>
        <v>0</v>
      </c>
      <c r="R704" s="66">
        <f>ROUND('T2 NSA'!D19,$D$703)</f>
        <v>0</v>
      </c>
      <c r="S704" s="66">
        <f>ROUND('T2 NSA'!E19,$D$703)</f>
        <v>0</v>
      </c>
      <c r="T704" s="66">
        <f>ROUND('T2 NSA'!F19,$D$703)</f>
        <v>0</v>
      </c>
      <c r="Y704" s="695"/>
    </row>
    <row r="705" spans="1:25" outlineLevel="1">
      <c r="A705" s="684"/>
      <c r="B705" s="684"/>
      <c r="C705" s="697" t="s">
        <v>472</v>
      </c>
      <c r="D705" s="698"/>
      <c r="E705" s="680"/>
      <c r="F705" s="680"/>
      <c r="G705" s="16"/>
      <c r="H705" s="16"/>
      <c r="I705" s="16"/>
      <c r="Q705" s="66">
        <f>ROUND('T3 NSA'!$D$13,$D$703)</f>
        <v>0</v>
      </c>
      <c r="R705" s="66">
        <f>ROUND('T3 NSA'!$D$14,$D$703)</f>
        <v>0</v>
      </c>
      <c r="S705" s="66">
        <f>ROUND('T3 NSA'!$D$15,$D$703)</f>
        <v>0</v>
      </c>
      <c r="T705" s="66">
        <f>ROUND('T3 NSA'!$D$16,$D$703)</f>
        <v>0</v>
      </c>
      <c r="Y705" s="695"/>
    </row>
    <row r="706" spans="1:25">
      <c r="A706" s="684" t="s">
        <v>402</v>
      </c>
      <c r="B706" s="684" t="s">
        <v>473</v>
      </c>
      <c r="C706" s="694" t="s">
        <v>474</v>
      </c>
      <c r="D706" s="675">
        <v>3</v>
      </c>
      <c r="E706" s="680"/>
      <c r="F706" s="680"/>
      <c r="G706" s="16"/>
      <c r="H706" s="16"/>
      <c r="I706" s="16"/>
      <c r="Q706" s="687" t="b">
        <f>ROUND('T2 NSA'!C28,$D$706)=ROUND('T3 NSA'!$D$31+'T3 NSA'!$D$38+'T3 NSA'!$D$45+'T3 NSA'!$D$52+'T3 NSA'!$D$59+'T3 NSA'!$D$66,$D$706)</f>
        <v>1</v>
      </c>
      <c r="R706" s="687" t="b">
        <f>ROUND('T2 NSA'!D28,$D$706)=ROUND('T3 NSA'!$D$32+'T3 NSA'!$D$39+'T3 NSA'!$D$46+'T3 NSA'!$D$53+'T3 NSA'!$D$60+'T3 NSA'!$D$67,$D$706)</f>
        <v>1</v>
      </c>
      <c r="S706" s="687" t="b">
        <f>ROUND('T2 NSA'!E28,$D$706)=ROUND('T3 NSA'!$D$33+'T3 NSA'!$D$40+'T3 NSA'!$D$47+'T3 NSA'!$D$54+'T3 NSA'!$D$61+'T3 NSA'!$D$68,$D$706)</f>
        <v>1</v>
      </c>
      <c r="T706" s="687" t="b">
        <f>ROUND('T2 NSA'!F28,$D$706)=ROUND('T3 NSA'!$D$34+'T3 NSA'!$D$41+'T3 NSA'!$D$48+'T3 NSA'!$D$55+'T3 NSA'!$D$62+'T3 NSA'!$D$69,$D$706)</f>
        <v>1</v>
      </c>
      <c r="Y706" s="695"/>
    </row>
    <row r="707" spans="1:25" outlineLevel="1">
      <c r="A707" s="684"/>
      <c r="B707" s="684"/>
      <c r="C707" s="697" t="s">
        <v>471</v>
      </c>
      <c r="D707" s="698"/>
      <c r="E707" s="680"/>
      <c r="F707" s="680"/>
      <c r="G707" s="16"/>
      <c r="H707" s="16"/>
      <c r="I707" s="16"/>
      <c r="Q707" s="66">
        <f>ROUND('T2 NSA'!C28,$D$706)</f>
        <v>0</v>
      </c>
      <c r="R707" s="66">
        <f>ROUND('T2 NSA'!D28,$D$706)</f>
        <v>0</v>
      </c>
      <c r="S707" s="66">
        <f>ROUND('T2 NSA'!E28,$D$706)</f>
        <v>0</v>
      </c>
      <c r="T707" s="66">
        <f>ROUND('T2 NSA'!F28,$D$706)</f>
        <v>0</v>
      </c>
      <c r="Y707" s="695"/>
    </row>
    <row r="708" spans="1:25" outlineLevel="1">
      <c r="A708" s="684"/>
      <c r="B708" s="684"/>
      <c r="C708" s="697" t="s">
        <v>472</v>
      </c>
      <c r="D708" s="698"/>
      <c r="E708" s="680"/>
      <c r="F708" s="680"/>
      <c r="G708" s="16"/>
      <c r="H708" s="16"/>
      <c r="I708" s="16"/>
      <c r="Q708" s="66">
        <f>ROUND('T3 NSA'!$D$31+'T3 NSA'!$D$38+'T3 NSA'!$D$45+'T3 NSA'!$D$52+'T3 NSA'!$D$59+'T3 NSA'!$D$66,$D$706)</f>
        <v>0</v>
      </c>
      <c r="R708" s="66">
        <f>ROUND('T3 NSA'!$D$32+'T3 NSA'!$D$39+'T3 NSA'!$D$46+'T3 NSA'!$D$53+'T3 NSA'!$D$60+'T3 NSA'!$D$67,$D$706)</f>
        <v>0</v>
      </c>
      <c r="S708" s="66">
        <f>ROUND('T3 NSA'!$D$33+'T3 NSA'!$D$40+'T3 NSA'!$D$47+'T3 NSA'!$D$54+'T3 NSA'!$D$61+'T3 NSA'!$D$68,$D$706)</f>
        <v>0</v>
      </c>
      <c r="T708" s="66">
        <f>ROUND('T3 NSA'!$D$34+'T3 NSA'!$D$41+'T3 NSA'!$D$48+'T3 NSA'!$D$55+'T3 NSA'!$D$62+'T3 NSA'!$D$69,$D$706)</f>
        <v>0</v>
      </c>
      <c r="Y708" s="695"/>
    </row>
    <row r="709" spans="1:25">
      <c r="A709" s="684" t="s">
        <v>399</v>
      </c>
      <c r="B709" s="684" t="s">
        <v>475</v>
      </c>
      <c r="C709" s="694" t="s">
        <v>476</v>
      </c>
      <c r="D709" s="675">
        <v>3</v>
      </c>
      <c r="E709" s="680"/>
      <c r="F709" s="680"/>
      <c r="G709" s="16"/>
      <c r="H709" s="16"/>
      <c r="I709" s="16"/>
      <c r="Q709" s="687" t="b">
        <f>ROUND('T2 NSA'!C41,$D$709)=ROUND('T3 NSA'!$D$24,$D$709)</f>
        <v>1</v>
      </c>
      <c r="R709" s="687" t="b">
        <f>ROUND('T2 NSA'!D41,$D$709)=ROUND('T3 NSA'!$D$25,$D$709)</f>
        <v>1</v>
      </c>
      <c r="S709" s="687" t="b">
        <f>ROUND('T2 NSA'!E41,$D$709)=ROUND('T3 NSA'!$D$26,$D$709)</f>
        <v>1</v>
      </c>
      <c r="T709" s="687" t="b">
        <f>ROUND('T2 NSA'!F41,$D$709)=ROUND('T3 NSA'!$D$27,$D$709)</f>
        <v>1</v>
      </c>
      <c r="Y709" s="695"/>
    </row>
    <row r="710" spans="1:25" outlineLevel="1">
      <c r="A710" s="684"/>
      <c r="B710" s="684"/>
      <c r="C710" s="697" t="s">
        <v>471</v>
      </c>
      <c r="D710" s="698"/>
      <c r="E710" s="680"/>
      <c r="F710" s="680"/>
      <c r="G710" s="16"/>
      <c r="H710" s="16"/>
      <c r="I710" s="16"/>
      <c r="Q710" s="66">
        <f>ROUND('T2 NSA'!C41,$D$709)</f>
        <v>0</v>
      </c>
      <c r="R710" s="66">
        <f>ROUND('T2 NSA'!D41,$D$709)</f>
        <v>0</v>
      </c>
      <c r="S710" s="66">
        <f>ROUND('T2 NSA'!E41,$D$709)</f>
        <v>0</v>
      </c>
      <c r="T710" s="66">
        <f>ROUND('T2 NSA'!F41,$D$709)</f>
        <v>0</v>
      </c>
      <c r="Y710" s="695"/>
    </row>
    <row r="711" spans="1:25" outlineLevel="1">
      <c r="A711" s="684"/>
      <c r="B711" s="684"/>
      <c r="C711" s="697" t="s">
        <v>472</v>
      </c>
      <c r="D711" s="698"/>
      <c r="E711" s="680"/>
      <c r="F711" s="680"/>
      <c r="G711" s="16"/>
      <c r="H711" s="16"/>
      <c r="I711" s="16"/>
      <c r="Q711" s="66">
        <f>ROUND('T3 NSA'!$D$24,$D$709)</f>
        <v>0</v>
      </c>
      <c r="R711" s="66">
        <f>ROUND('T3 NSA'!$D$25,$D$709)</f>
        <v>0</v>
      </c>
      <c r="S711" s="66">
        <f>ROUND('T3 NSA'!$D$26,$D$709)</f>
        <v>0</v>
      </c>
      <c r="T711" s="66">
        <f>ROUND('T3 NSA'!$D$27,$D$709)</f>
        <v>0</v>
      </c>
      <c r="Y711" s="695"/>
    </row>
    <row r="712" spans="1:25">
      <c r="A712" s="684" t="s">
        <v>411</v>
      </c>
      <c r="B712" s="684" t="s">
        <v>477</v>
      </c>
      <c r="C712" s="694" t="s">
        <v>478</v>
      </c>
      <c r="D712" s="675">
        <v>3</v>
      </c>
      <c r="E712" s="680"/>
      <c r="F712" s="680"/>
      <c r="G712" s="16"/>
      <c r="H712" s="16"/>
      <c r="I712" s="16"/>
      <c r="Q712" s="687" t="b">
        <f>ROUND('T2 NSA'!C46,$D$712)=ROUND('T3 NSA'!$D$110,$D$712)</f>
        <v>1</v>
      </c>
      <c r="R712" s="687" t="b">
        <f>ROUND('T2 NSA'!D46,$D$712)=ROUND('T3 NSA'!$D$111,$D$712)</f>
        <v>1</v>
      </c>
      <c r="S712" s="687" t="b">
        <f>ROUND('T2 NSA'!E46,$D$712)=ROUND('T3 NSA'!$D$112,$D$712)</f>
        <v>1</v>
      </c>
      <c r="T712" s="687" t="b">
        <f>ROUND('T2 NSA'!F46,$D$712)=ROUND('T3 NSA'!$D$113,$D$712)</f>
        <v>1</v>
      </c>
    </row>
    <row r="713" spans="1:25" outlineLevel="1">
      <c r="A713" s="684"/>
      <c r="B713" s="684"/>
      <c r="C713" s="697" t="s">
        <v>471</v>
      </c>
      <c r="D713" s="698"/>
      <c r="E713" s="680"/>
      <c r="F713" s="680"/>
      <c r="G713" s="16"/>
      <c r="H713" s="16"/>
      <c r="I713" s="16"/>
      <c r="Q713" s="66">
        <f>ROUND('T2 NSA'!C46,$D$712)</f>
        <v>0</v>
      </c>
      <c r="R713" s="66">
        <f>ROUND('T2 NSA'!D46,$D$712)</f>
        <v>0</v>
      </c>
      <c r="S713" s="66">
        <f>ROUND('T2 NSA'!E46,$D$712)</f>
        <v>0</v>
      </c>
      <c r="T713" s="66">
        <f>ROUND('T2 NSA'!F46,$D$712)</f>
        <v>0</v>
      </c>
    </row>
    <row r="714" spans="1:25" outlineLevel="1">
      <c r="A714" s="684"/>
      <c r="B714" s="684"/>
      <c r="C714" s="697" t="s">
        <v>472</v>
      </c>
      <c r="D714" s="698"/>
      <c r="E714" s="680"/>
      <c r="F714" s="680"/>
      <c r="G714" s="16"/>
      <c r="H714" s="16"/>
      <c r="I714" s="16"/>
      <c r="Q714" s="66">
        <f>ROUND('T3 NSA'!$D$110,$D$712)</f>
        <v>0</v>
      </c>
      <c r="R714" s="66">
        <f>ROUND('T3 NSA'!$D$111,$D$712)</f>
        <v>0</v>
      </c>
      <c r="S714" s="66">
        <f>ROUND('T3 NSA'!$D$112,$D$712)</f>
        <v>0</v>
      </c>
      <c r="T714" s="66">
        <f>ROUND('T3 NSA'!$D$113,$D$712)</f>
        <v>0</v>
      </c>
    </row>
    <row r="715" spans="1:25">
      <c r="A715" s="684" t="s">
        <v>405</v>
      </c>
      <c r="B715" s="684" t="s">
        <v>479</v>
      </c>
      <c r="C715" s="694" t="s">
        <v>480</v>
      </c>
      <c r="D715" s="675">
        <v>3</v>
      </c>
      <c r="E715" s="680"/>
      <c r="F715" s="680"/>
      <c r="G715" s="16"/>
      <c r="H715" s="16"/>
      <c r="I715" s="16"/>
      <c r="Q715" s="687" t="b">
        <f>ROUND('T2 NSA'!C54,$D$715)=ROUND('T3 NSA'!$D$82,$D$715)</f>
        <v>1</v>
      </c>
      <c r="R715" s="687" t="b">
        <f>ROUND('T2 NSA'!D54,$D$715)=ROUND('T3 NSA'!$D$83,$D$715)</f>
        <v>1</v>
      </c>
      <c r="S715" s="687" t="b">
        <f>ROUND('T2 NSA'!E54,$D$715)=ROUND('T3 NSA'!$D$84,$D$715)</f>
        <v>1</v>
      </c>
      <c r="T715" s="687" t="b">
        <f>ROUND('T2 NSA'!F54,$D$715)=ROUND('T3 NSA'!$D$85,$D$715)</f>
        <v>1</v>
      </c>
      <c r="Y715" s="695"/>
    </row>
    <row r="716" spans="1:25" outlineLevel="1">
      <c r="A716" s="684"/>
      <c r="B716" s="684"/>
      <c r="C716" s="697" t="s">
        <v>471</v>
      </c>
      <c r="D716" s="698"/>
      <c r="E716" s="680"/>
      <c r="F716" s="680"/>
      <c r="G716" s="16"/>
      <c r="H716" s="16"/>
      <c r="I716" s="16"/>
      <c r="Q716" s="66">
        <f>ROUND('T2 NSA'!C54,$D$715)</f>
        <v>0</v>
      </c>
      <c r="R716" s="66">
        <f>ROUND('T2 NSA'!D54,$D$715)</f>
        <v>0</v>
      </c>
      <c r="S716" s="66">
        <f>ROUND('T2 NSA'!E54,$D$715)</f>
        <v>0</v>
      </c>
      <c r="T716" s="66">
        <f>ROUND('T2 NSA'!F54,$D$715)</f>
        <v>0</v>
      </c>
      <c r="Y716" s="695"/>
    </row>
    <row r="717" spans="1:25" outlineLevel="1">
      <c r="A717" s="684"/>
      <c r="B717" s="684"/>
      <c r="C717" s="697" t="s">
        <v>472</v>
      </c>
      <c r="D717" s="698"/>
      <c r="E717" s="680"/>
      <c r="F717" s="680"/>
      <c r="G717" s="16"/>
      <c r="H717" s="16"/>
      <c r="I717" s="16"/>
      <c r="Q717" s="66">
        <f>ROUND('T3 NSA'!$D$82,$D$715)</f>
        <v>0</v>
      </c>
      <c r="R717" s="66">
        <f>ROUND('T3 NSA'!$D$83,$D$715)</f>
        <v>0</v>
      </c>
      <c r="S717" s="66">
        <f>ROUND('T3 NSA'!$D$84,$D$715)</f>
        <v>0</v>
      </c>
      <c r="T717" s="66">
        <f>ROUND('T3 NSA'!$D$85,$D$715)</f>
        <v>0</v>
      </c>
      <c r="Y717" s="695"/>
    </row>
    <row r="718" spans="1:25">
      <c r="A718" s="684" t="s">
        <v>408</v>
      </c>
      <c r="B718" s="684" t="s">
        <v>481</v>
      </c>
      <c r="C718" s="694" t="s">
        <v>191</v>
      </c>
      <c r="D718" s="675">
        <v>3</v>
      </c>
      <c r="E718" s="680"/>
      <c r="F718" s="680"/>
      <c r="G718" s="16"/>
      <c r="H718" s="16"/>
      <c r="I718" s="16"/>
      <c r="Q718" s="687" t="b">
        <f>ROUND('T2 NSA'!C59,$D$718)=ROUND('T3 NSA'!$D$93,$D$718)</f>
        <v>1</v>
      </c>
      <c r="R718" s="687" t="b">
        <f>ROUND('T2 NSA'!D59,$D$718)=ROUND('T3 NSA'!$D$94,$D$718)</f>
        <v>1</v>
      </c>
      <c r="S718" s="687" t="b">
        <f>ROUND('T2 NSA'!E59,$D$718)=ROUND('T3 NSA'!$D$95,$D$718)</f>
        <v>1</v>
      </c>
      <c r="T718" s="687" t="b">
        <f>ROUND('T2 NSA'!F59,$D$718)=ROUND('T3 NSA'!$D$96,$D$718)</f>
        <v>1</v>
      </c>
      <c r="Y718" s="695"/>
    </row>
    <row r="719" spans="1:25" outlineLevel="1">
      <c r="A719" s="684"/>
      <c r="B719" s="684"/>
      <c r="C719" s="697" t="s">
        <v>471</v>
      </c>
      <c r="D719" s="698"/>
      <c r="E719" s="680"/>
      <c r="F719" s="680"/>
      <c r="G719" s="16"/>
      <c r="H719" s="16"/>
      <c r="I719" s="16"/>
      <c r="Q719" s="66">
        <f>ROUND('T2 NSA'!C59,$D$718)</f>
        <v>0</v>
      </c>
      <c r="R719" s="66">
        <f>ROUND('T2 NSA'!D59,$D$718)</f>
        <v>0</v>
      </c>
      <c r="S719" s="66">
        <f>ROUND('T2 NSA'!E59,$D$718)</f>
        <v>0</v>
      </c>
      <c r="T719" s="66">
        <f>ROUND('T2 NSA'!F59,$D$718)</f>
        <v>0</v>
      </c>
      <c r="Y719" s="695"/>
    </row>
    <row r="720" spans="1:25" outlineLevel="1">
      <c r="A720" s="684"/>
      <c r="B720" s="684"/>
      <c r="C720" s="697" t="s">
        <v>472</v>
      </c>
      <c r="D720" s="698"/>
      <c r="E720" s="680"/>
      <c r="F720" s="680"/>
      <c r="G720" s="16"/>
      <c r="H720" s="16"/>
      <c r="I720" s="16"/>
      <c r="Q720" s="66">
        <f>ROUND('T3 NSA'!$D$93,$D$718)</f>
        <v>0</v>
      </c>
      <c r="R720" s="66">
        <f>ROUND('T3 NSA'!$D$94,$D$718)</f>
        <v>0</v>
      </c>
      <c r="S720" s="66">
        <f>ROUND('T3 NSA'!$D$95,$D$718)</f>
        <v>0</v>
      </c>
      <c r="T720" s="66">
        <f>ROUND('T3 NSA'!$D$96,$D$718)</f>
        <v>0</v>
      </c>
      <c r="Y720" s="695"/>
    </row>
    <row r="721" spans="1:20">
      <c r="A721" s="684" t="s">
        <v>420</v>
      </c>
      <c r="B721" s="684" t="s">
        <v>482</v>
      </c>
      <c r="C721" s="694" t="s">
        <v>483</v>
      </c>
      <c r="D721" s="675">
        <v>3</v>
      </c>
      <c r="E721" s="680"/>
      <c r="F721" s="680"/>
      <c r="G721" s="16"/>
      <c r="H721" s="16"/>
      <c r="I721" s="16"/>
      <c r="Q721" s="687" t="b">
        <f>ROUND('T2 NSA'!C63,$D$721)=ROUND('T3 NSA'!$D$161,$D$721)</f>
        <v>1</v>
      </c>
      <c r="R721" s="687" t="b">
        <f>ROUND('T2 NSA'!D63,$D$721)=ROUND('T3 NSA'!$D$162,$D$721)</f>
        <v>1</v>
      </c>
      <c r="S721" s="687" t="b">
        <f>ROUND('T2 NSA'!E63,$D$721)=ROUND('T3 NSA'!$D$163,$D$721)</f>
        <v>1</v>
      </c>
      <c r="T721" s="687" t="b">
        <f>ROUND('T2 NSA'!F63,$D$721)=ROUND('T3 NSA'!$D$164,$D$721)</f>
        <v>1</v>
      </c>
    </row>
    <row r="722" spans="1:20" outlineLevel="1">
      <c r="A722" s="684"/>
      <c r="B722" s="684"/>
      <c r="C722" s="697" t="s">
        <v>471</v>
      </c>
      <c r="D722" s="698"/>
      <c r="E722" s="680"/>
      <c r="F722" s="680"/>
      <c r="G722" s="16"/>
      <c r="H722" s="16"/>
      <c r="I722" s="16"/>
      <c r="Q722" s="66">
        <f>ROUND('T2 NSA'!C63,$D$721)</f>
        <v>502.327</v>
      </c>
      <c r="R722" s="66">
        <f>ROUND('T2 NSA'!D63,$D$721)</f>
        <v>0</v>
      </c>
      <c r="S722" s="66">
        <f>ROUND('T2 NSA'!E63,$D$721)</f>
        <v>0</v>
      </c>
      <c r="T722" s="66">
        <f>ROUND('T2 NSA'!F63,$D$721)</f>
        <v>0</v>
      </c>
    </row>
    <row r="723" spans="1:20" outlineLevel="1">
      <c r="A723" s="684"/>
      <c r="B723" s="684"/>
      <c r="C723" s="697" t="s">
        <v>472</v>
      </c>
      <c r="D723" s="698"/>
      <c r="E723" s="680"/>
      <c r="F723" s="680"/>
      <c r="G723" s="16"/>
      <c r="H723" s="16"/>
      <c r="I723" s="16"/>
      <c r="Q723" s="66">
        <f>ROUND('T3 NSA'!$D$161,$D$721)</f>
        <v>502.327</v>
      </c>
      <c r="R723" s="66">
        <f>ROUND('T3 NSA'!$D$162,$D$721)</f>
        <v>0</v>
      </c>
      <c r="S723" s="66">
        <f>ROUND('T3 NSA'!$D$163,$D$721)</f>
        <v>0</v>
      </c>
      <c r="T723" s="66">
        <f>ROUND('T3 NSA'!$D$164,$D$721)</f>
        <v>0</v>
      </c>
    </row>
    <row r="724" spans="1:20">
      <c r="A724" s="684" t="s">
        <v>484</v>
      </c>
      <c r="B724" s="684" t="s">
        <v>485</v>
      </c>
      <c r="C724" s="694" t="s">
        <v>486</v>
      </c>
      <c r="D724" s="675">
        <v>3</v>
      </c>
      <c r="E724" s="680"/>
      <c r="F724" s="680"/>
      <c r="G724" s="16"/>
      <c r="H724" s="16"/>
      <c r="I724" s="16"/>
      <c r="Q724" s="687" t="b">
        <f>ROUND('T2 NSA'!C66,$D$724)=ROUND('T3 NSA'!$D$168,$D$724)</f>
        <v>1</v>
      </c>
      <c r="R724" s="687" t="b">
        <f>ROUND('T2 NSA'!D66,$D$724)=ROUND('T3 NSA'!$D$169,$D$724)</f>
        <v>1</v>
      </c>
      <c r="S724" s="687" t="b">
        <f>ROUND('T2 NSA'!E66,$D$724)=ROUND('T3 NSA'!$D$170,$D$724)</f>
        <v>1</v>
      </c>
      <c r="T724" s="687" t="b">
        <f>ROUND('T2 NSA'!F66,$D$724)=ROUND('T3 NSA'!$D$171,$D$724)</f>
        <v>1</v>
      </c>
    </row>
    <row r="725" spans="1:20" outlineLevel="1">
      <c r="A725" s="684"/>
      <c r="B725" s="684"/>
      <c r="C725" s="697" t="s">
        <v>471</v>
      </c>
      <c r="D725" s="698"/>
      <c r="E725" s="680"/>
      <c r="F725" s="680"/>
      <c r="G725" s="16"/>
      <c r="H725" s="16"/>
      <c r="I725" s="16"/>
      <c r="Q725" s="66">
        <f>ROUND('T2 NSA'!C66,$D$724)</f>
        <v>0</v>
      </c>
      <c r="R725" s="66">
        <f>ROUND('T2 NSA'!D66,$D$724)</f>
        <v>0</v>
      </c>
      <c r="S725" s="66">
        <f>ROUND('T2 NSA'!E66,$D$724)</f>
        <v>0</v>
      </c>
      <c r="T725" s="66">
        <f>ROUND('T2 NSA'!F66,$D$724)</f>
        <v>0</v>
      </c>
    </row>
    <row r="726" spans="1:20" outlineLevel="1">
      <c r="A726" s="684"/>
      <c r="B726" s="684"/>
      <c r="C726" s="697" t="s">
        <v>472</v>
      </c>
      <c r="D726" s="698"/>
      <c r="E726" s="680"/>
      <c r="F726" s="680"/>
      <c r="G726" s="16"/>
      <c r="H726" s="16"/>
      <c r="I726" s="16"/>
      <c r="Q726" s="66">
        <f>ROUND('T3 NSA'!$D$168,$D$724)</f>
        <v>0</v>
      </c>
      <c r="R726" s="66">
        <f>ROUND('T3 NSA'!$D$169,$D$724)</f>
        <v>0</v>
      </c>
      <c r="S726" s="66">
        <f>ROUND('T3 NSA'!$D$170,$D$724)</f>
        <v>0</v>
      </c>
      <c r="T726" s="66">
        <f>ROUND('T3 NSA'!$D$171,$D$724)</f>
        <v>0</v>
      </c>
    </row>
    <row r="727" spans="1:20">
      <c r="A727" s="684" t="s">
        <v>487</v>
      </c>
      <c r="B727" s="684" t="s">
        <v>495</v>
      </c>
      <c r="C727" s="694" t="s">
        <v>198</v>
      </c>
      <c r="D727" s="675">
        <v>3</v>
      </c>
      <c r="E727" s="680"/>
      <c r="F727" s="680"/>
      <c r="G727" s="16"/>
      <c r="H727" s="16"/>
      <c r="I727" s="16"/>
      <c r="Q727" s="687" t="b">
        <f>ROUND('T2 NSA'!C73,$D$727)=ROUND('T3 NSA'!$D$121+'T3 NSA'!$D$132+'T3 NSA'!$D$143+'T3 NSA'!$D$154,$D$727)</f>
        <v>1</v>
      </c>
      <c r="R727" s="687" t="b">
        <f>ROUND('T2 NSA'!D73,$D$727)=ROUND('T3 NSA'!$D$122+'T3 NSA'!$D$133+'T3 NSA'!$D$144+'T3 NSA'!$D$155,$D$727)</f>
        <v>1</v>
      </c>
      <c r="S727" s="687" t="b">
        <f>ROUND('T2 NSA'!E73,$D$727)=ROUND('T3 NSA'!$D$123+'T3 NSA'!$D$134+'T3 NSA'!$D$145+'T3 NSA'!$D$156,$D$727)</f>
        <v>1</v>
      </c>
      <c r="T727" s="687" t="b">
        <f>ROUND('T2 NSA'!F73,$D$727)=ROUND('T3 NSA'!$D$124+'T3 NSA'!$D$135+'T3 NSA'!$D$146+'T3 NSA'!$D$157,$D$727)</f>
        <v>1</v>
      </c>
    </row>
    <row r="728" spans="1:20" outlineLevel="1">
      <c r="A728" s="684"/>
      <c r="B728" s="684"/>
      <c r="C728" s="697" t="s">
        <v>471</v>
      </c>
      <c r="D728" s="698"/>
      <c r="E728" s="680"/>
      <c r="F728" s="680"/>
      <c r="G728" s="16"/>
      <c r="H728" s="16"/>
      <c r="I728" s="16"/>
      <c r="Q728" s="66">
        <f>ROUND('T2 NSA'!C73,$D$727)</f>
        <v>0</v>
      </c>
      <c r="R728" s="66">
        <f>ROUND('T2 NSA'!D73,$D$727)</f>
        <v>0</v>
      </c>
      <c r="S728" s="66">
        <f>ROUND('T2 NSA'!E73,$D$727)</f>
        <v>0</v>
      </c>
      <c r="T728" s="66">
        <f>ROUND('T2 NSA'!F73,$D$727)</f>
        <v>0</v>
      </c>
    </row>
    <row r="729" spans="1:20" outlineLevel="1">
      <c r="A729" s="684"/>
      <c r="B729" s="684"/>
      <c r="C729" s="697" t="s">
        <v>472</v>
      </c>
      <c r="D729" s="698"/>
      <c r="E729" s="680"/>
      <c r="F729" s="680"/>
      <c r="G729" s="16"/>
      <c r="H729" s="16"/>
      <c r="I729" s="16"/>
      <c r="Q729" s="66">
        <f>ROUND('T3 NSA'!$D$121+'T3 NSA'!$D$132+'T3 NSA'!$D$143+'T3 NSA'!$D$154,$D$727)</f>
        <v>0</v>
      </c>
      <c r="R729" s="66">
        <f>ROUND('T3 NSA'!$D$122+'T3 NSA'!$D$133+'T3 NSA'!$D$144+'T3 NSA'!$D$155,$D$727)</f>
        <v>0</v>
      </c>
      <c r="S729" s="66">
        <f>ROUND('T3 NSA'!$D$123+'T3 NSA'!$D$134+'T3 NSA'!$D$145+'T3 NSA'!$D$156,$D$727)</f>
        <v>0</v>
      </c>
      <c r="T729" s="66">
        <f>ROUND('T3 NSA'!$D$124+'T3 NSA'!$D$135+'T3 NSA'!$D$146+'T3 NSA'!$D$157,$D$727)</f>
        <v>0</v>
      </c>
    </row>
    <row r="730" spans="1:20" s="69" customFormat="1">
      <c r="A730" s="67"/>
      <c r="B730" s="68"/>
      <c r="D730" s="70"/>
      <c r="E730" s="70"/>
      <c r="F730" s="70"/>
      <c r="G730" s="70"/>
      <c r="H730" s="70"/>
      <c r="I730" s="70"/>
      <c r="P730" s="16"/>
    </row>
  </sheetData>
  <sheetProtection sheet="1" objects="1" scenarios="1"/>
  <mergeCells count="13">
    <mergeCell ref="A6:B6"/>
    <mergeCell ref="A1:C1"/>
    <mergeCell ref="A2:B2"/>
    <mergeCell ref="A3:B3"/>
    <mergeCell ref="A4:B4"/>
    <mergeCell ref="A5:B5"/>
    <mergeCell ref="Q8:V8"/>
    <mergeCell ref="A336:C337"/>
    <mergeCell ref="A7:B7"/>
    <mergeCell ref="J8:O8"/>
    <mergeCell ref="A9:C9"/>
    <mergeCell ref="Q336:T336"/>
    <mergeCell ref="E8:I8"/>
  </mergeCells>
  <conditionalFormatting sqref="M25:O25 Q31 Q11 Q14 Q17 Q20 Q28 Q25 M97:O97 M109:O109 M112:O112 M124:O124 M145:O145 M157:O157 M160:O160 M163:O163 M169:O169 M200:O200 M206:O206 Q188 Q182 Q185 Q197 Q194 Q191 Q148 Q137 Q151 Q154 Q140 Q134 Q206 Q200 Q169 Q163 Q160 Q157 Q145 Q127 Q100 Q89 Q103 Q106 Q92 Q86 Q124 Q112 Q109 Q97 E25:K25 E124:K124 E112:K112 E109:K109 E97:K97 E160:K160 E157:K157 E145:K145 E169:K169 E163:K163 E200:K200 E206:K206 E28:O28 E20:O20 E17:O17 E14:O14 E11:O11 E31:O31 E140:K140 E154:O154 E137:K137 E148:O148 E191:O191 E194:O194 E197:O197 E185:O185 E182:O182 E188:O188 E121:K121 E86:O86 E89:O89 E92:O92 E100:O100 E103:O103 E106:O106 E115:K115 J127:O127 E134:O134 M137:O137 M140:O140 E151:O151">
    <cfRule type="containsErrors" dxfId="954" priority="2057" stopIfTrue="1">
      <formula>ISERROR(E11)</formula>
    </cfRule>
    <cfRule type="expression" dxfId="953" priority="2062" stopIfTrue="1">
      <formula>OR(E12=0,E13=0)</formula>
    </cfRule>
    <cfRule type="cellIs" dxfId="952" priority="2063" stopIfTrue="1" operator="equal">
      <formula>FALSE</formula>
    </cfRule>
    <cfRule type="cellIs" dxfId="951" priority="2064" stopIfTrue="1" operator="equal">
      <formula>TRUE</formula>
    </cfRule>
    <cfRule type="containsText" dxfId="950" priority="2065" stopIfTrue="1" operator="containsText" text="N/A">
      <formula>NOT(ISERROR(SEARCH("N/A",E11)))</formula>
    </cfRule>
  </conditionalFormatting>
  <conditionalFormatting sqref="E166:K166 E203:K203 E118:K118">
    <cfRule type="containsErrors" dxfId="949" priority="2051" stopIfTrue="1">
      <formula>ISERROR(E118)</formula>
    </cfRule>
    <cfRule type="expression" dxfId="948" priority="2058" stopIfTrue="1">
      <formula>(E119=0)</formula>
    </cfRule>
    <cfRule type="cellIs" dxfId="947" priority="2059" stopIfTrue="1" operator="equal">
      <formula>FALSE</formula>
    </cfRule>
    <cfRule type="cellIs" dxfId="946" priority="2060" stopIfTrue="1" operator="equal">
      <formula>TRUE</formula>
    </cfRule>
    <cfRule type="containsText" dxfId="945" priority="2061" stopIfTrue="1" operator="containsText" text="N/A">
      <formula>NOT(ISERROR(SEARCH("N/A",E118)))</formula>
    </cfRule>
  </conditionalFormatting>
  <conditionalFormatting sqref="M172:O172 M209:O209 Q209 Q172 Q624:T624 Q621:T621 Q618:T618 Q627:T627 Q612:T612 Q609:T609 Q606:T606 Q603:T603 Q630:T630 Q721 Q718 Q715 Q724 Q709 Q706 Q703 Q700 Q727 Q690 Q687 Q684 Q693 Q678 Q675 Q672 Q669 Q696 Q659 Q656 Q653 Q662 Q647 Q644 Q641 Q638 Q665 Q493:T493 Q354:T354 Q428:T428 E172:K172 E209:K209">
    <cfRule type="containsErrors" dxfId="944" priority="2052" stopIfTrue="1">
      <formula>ISERROR(E172)</formula>
    </cfRule>
    <cfRule type="cellIs" dxfId="943" priority="2053" stopIfTrue="1" operator="equal">
      <formula>FALSE</formula>
    </cfRule>
    <cfRule type="expression" dxfId="942" priority="2054" stopIfTrue="1">
      <formula>OR(E173=0,E174=0)</formula>
    </cfRule>
    <cfRule type="cellIs" dxfId="941" priority="2055" stopIfTrue="1" operator="equal">
      <formula>TRUE</formula>
    </cfRule>
    <cfRule type="containsText" dxfId="940" priority="2056" stopIfTrue="1" operator="containsText" text="N/A">
      <formula>NOT(ISERROR(SEARCH("N/A",E172)))</formula>
    </cfRule>
  </conditionalFormatting>
  <conditionalFormatting sqref="H23:K23 M23:O23 Q23">
    <cfRule type="containsErrors" dxfId="939" priority="2066" stopIfTrue="1">
      <formula>ISERROR(H23)</formula>
    </cfRule>
    <cfRule type="expression" dxfId="938" priority="2067" stopIfTrue="1">
      <formula>OR(H24=0,#REF!=0)</formula>
    </cfRule>
    <cfRule type="cellIs" dxfId="937" priority="2068" stopIfTrue="1" operator="equal">
      <formula>FALSE</formula>
    </cfRule>
    <cfRule type="cellIs" dxfId="936" priority="2069" stopIfTrue="1" operator="equal">
      <formula>TRUE</formula>
    </cfRule>
    <cfRule type="containsText" dxfId="935" priority="2070" stopIfTrue="1" operator="containsText" text="N/A">
      <formula>NOT(ISERROR(SEARCH("N/A",H23)))</formula>
    </cfRule>
  </conditionalFormatting>
  <conditionalFormatting sqref="M121:O121 Q121">
    <cfRule type="containsErrors" dxfId="934" priority="2026" stopIfTrue="1">
      <formula>ISERROR(M121)</formula>
    </cfRule>
    <cfRule type="expression" dxfId="933" priority="2027" stopIfTrue="1">
      <formula>OR(M122=0,M123=0)</formula>
    </cfRule>
    <cfRule type="cellIs" dxfId="932" priority="2028" stopIfTrue="1" operator="equal">
      <formula>FALSE</formula>
    </cfRule>
    <cfRule type="cellIs" dxfId="931" priority="2029" stopIfTrue="1" operator="equal">
      <formula>TRUE</formula>
    </cfRule>
    <cfRule type="containsText" dxfId="930" priority="2030" stopIfTrue="1" operator="containsText" text="N/A">
      <formula>NOT(ISERROR(SEARCH("N/A",M121)))</formula>
    </cfRule>
  </conditionalFormatting>
  <conditionalFormatting sqref="J130:K130 M130:O130 Q130">
    <cfRule type="containsErrors" dxfId="929" priority="2016" stopIfTrue="1">
      <formula>ISERROR(J130)</formula>
    </cfRule>
    <cfRule type="expression" dxfId="928" priority="2017" stopIfTrue="1">
      <formula>OR(J131=0,J132=0)</formula>
    </cfRule>
    <cfRule type="cellIs" dxfId="927" priority="2018" stopIfTrue="1" operator="equal">
      <formula>FALSE</formula>
    </cfRule>
    <cfRule type="cellIs" dxfId="926" priority="2019" stopIfTrue="1" operator="equal">
      <formula>TRUE</formula>
    </cfRule>
    <cfRule type="containsText" dxfId="925" priority="2020" stopIfTrue="1" operator="containsText" text="N/A">
      <formula>NOT(ISERROR(SEARCH("N/A",J130)))</formula>
    </cfRule>
  </conditionalFormatting>
  <conditionalFormatting sqref="Q175 J175:O175">
    <cfRule type="containsErrors" dxfId="924" priority="2011" stopIfTrue="1">
      <formula>ISERROR(J175)</formula>
    </cfRule>
    <cfRule type="expression" dxfId="923" priority="2012" stopIfTrue="1">
      <formula>OR(J176=0,J177=0)</formula>
    </cfRule>
    <cfRule type="cellIs" dxfId="922" priority="2013" stopIfTrue="1" operator="equal">
      <formula>FALSE</formula>
    </cfRule>
    <cfRule type="cellIs" dxfId="921" priority="2014" stopIfTrue="1" operator="equal">
      <formula>TRUE</formula>
    </cfRule>
    <cfRule type="containsText" dxfId="920" priority="2015" stopIfTrue="1" operator="containsText" text="N/A">
      <formula>NOT(ISERROR(SEARCH("N/A",J175)))</formula>
    </cfRule>
  </conditionalFormatting>
  <conditionalFormatting sqref="J178:K178 M178:O178 Q178">
    <cfRule type="containsErrors" dxfId="919" priority="2006" stopIfTrue="1">
      <formula>ISERROR(J178)</formula>
    </cfRule>
    <cfRule type="expression" dxfId="918" priority="2007" stopIfTrue="1">
      <formula>OR(J179=0,J180=0)</formula>
    </cfRule>
    <cfRule type="cellIs" dxfId="917" priority="2008" stopIfTrue="1" operator="equal">
      <formula>FALSE</formula>
    </cfRule>
    <cfRule type="cellIs" dxfId="916" priority="2009" stopIfTrue="1" operator="equal">
      <formula>TRUE</formula>
    </cfRule>
    <cfRule type="containsText" dxfId="915" priority="2010" stopIfTrue="1" operator="containsText" text="N/A">
      <formula>NOT(ISERROR(SEARCH("N/A",J178)))</formula>
    </cfRule>
  </conditionalFormatting>
  <conditionalFormatting sqref="Q351:T351">
    <cfRule type="containsErrors" dxfId="914" priority="1966" stopIfTrue="1">
      <formula>ISERROR(Q351)</formula>
    </cfRule>
    <cfRule type="cellIs" dxfId="913" priority="1967" stopIfTrue="1" operator="equal">
      <formula>FALSE</formula>
    </cfRule>
    <cfRule type="expression" dxfId="912" priority="1968" stopIfTrue="1">
      <formula>OR(Q352=0,Q353=0)</formula>
    </cfRule>
    <cfRule type="cellIs" dxfId="911" priority="1969" stopIfTrue="1" operator="equal">
      <formula>TRUE</formula>
    </cfRule>
    <cfRule type="containsText" dxfId="910" priority="1970" stopIfTrue="1" operator="containsText" text="N/A">
      <formula>NOT(ISERROR(SEARCH("N/A",Q351)))</formula>
    </cfRule>
  </conditionalFormatting>
  <conditionalFormatting sqref="Q390:T390">
    <cfRule type="containsErrors" dxfId="909" priority="1961" stopIfTrue="1">
      <formula>ISERROR(Q390)</formula>
    </cfRule>
    <cfRule type="cellIs" dxfId="908" priority="1962" stopIfTrue="1" operator="equal">
      <formula>FALSE</formula>
    </cfRule>
    <cfRule type="expression" dxfId="907" priority="1963" stopIfTrue="1">
      <formula>OR(Q391=0,Q392=0)</formula>
    </cfRule>
    <cfRule type="cellIs" dxfId="906" priority="1964" stopIfTrue="1" operator="equal">
      <formula>TRUE</formula>
    </cfRule>
    <cfRule type="containsText" dxfId="905" priority="1965" stopIfTrue="1" operator="containsText" text="N/A">
      <formula>NOT(ISERROR(SEARCH("N/A",Q390)))</formula>
    </cfRule>
  </conditionalFormatting>
  <conditionalFormatting sqref="Q339:T339">
    <cfRule type="containsErrors" dxfId="904" priority="1976" stopIfTrue="1">
      <formula>ISERROR(Q339)</formula>
    </cfRule>
    <cfRule type="cellIs" dxfId="903" priority="1977" stopIfTrue="1" operator="equal">
      <formula>FALSE</formula>
    </cfRule>
    <cfRule type="expression" dxfId="902" priority="1978" stopIfTrue="1">
      <formula>OR(Q340=0,Q341=0)</formula>
    </cfRule>
    <cfRule type="cellIs" dxfId="901" priority="1979" stopIfTrue="1" operator="equal">
      <formula>TRUE</formula>
    </cfRule>
    <cfRule type="containsText" dxfId="900" priority="1980" stopIfTrue="1" operator="containsText" text="N/A">
      <formula>NOT(ISERROR(SEARCH("N/A",Q339)))</formula>
    </cfRule>
  </conditionalFormatting>
  <conditionalFormatting sqref="R345:T345">
    <cfRule type="containsErrors" dxfId="899" priority="1971" stopIfTrue="1">
      <formula>ISERROR(R345)</formula>
    </cfRule>
    <cfRule type="cellIs" dxfId="898" priority="1972" stopIfTrue="1" operator="equal">
      <formula>FALSE</formula>
    </cfRule>
    <cfRule type="expression" dxfId="897" priority="1973" stopIfTrue="1">
      <formula>OR(R346=0,R347=0)</formula>
    </cfRule>
    <cfRule type="cellIs" dxfId="896" priority="1974" stopIfTrue="1" operator="equal">
      <formula>TRUE</formula>
    </cfRule>
    <cfRule type="containsText" dxfId="895" priority="1975" stopIfTrue="1" operator="containsText" text="N/A">
      <formula>NOT(ISERROR(SEARCH("N/A",R345)))</formula>
    </cfRule>
  </conditionalFormatting>
  <conditionalFormatting sqref="Q342:T342">
    <cfRule type="containsErrors" dxfId="894" priority="1956" stopIfTrue="1">
      <formula>ISERROR(Q342)</formula>
    </cfRule>
    <cfRule type="cellIs" dxfId="893" priority="1957" stopIfTrue="1" operator="equal">
      <formula>FALSE</formula>
    </cfRule>
    <cfRule type="expression" dxfId="892" priority="1958" stopIfTrue="1">
      <formula>OR(Q343=0,Q344=0)</formula>
    </cfRule>
    <cfRule type="cellIs" dxfId="891" priority="1959" stopIfTrue="1" operator="equal">
      <formula>TRUE</formula>
    </cfRule>
    <cfRule type="containsText" dxfId="890" priority="1960" stopIfTrue="1" operator="containsText" text="N/A">
      <formula>NOT(ISERROR(SEARCH("N/A",Q342)))</formula>
    </cfRule>
  </conditionalFormatting>
  <conditionalFormatting sqref="Q348:T348">
    <cfRule type="containsErrors" dxfId="889" priority="1951" stopIfTrue="1">
      <formula>ISERROR(Q348)</formula>
    </cfRule>
    <cfRule type="cellIs" dxfId="888" priority="1952" stopIfTrue="1" operator="equal">
      <formula>FALSE</formula>
    </cfRule>
    <cfRule type="expression" dxfId="887" priority="1953" stopIfTrue="1">
      <formula>OR(Q349=0,Q350=0)</formula>
    </cfRule>
    <cfRule type="cellIs" dxfId="886" priority="1954" stopIfTrue="1" operator="equal">
      <formula>TRUE</formula>
    </cfRule>
    <cfRule type="containsText" dxfId="885" priority="1955" stopIfTrue="1" operator="containsText" text="N/A">
      <formula>NOT(ISERROR(SEARCH("N/A",Q348)))</formula>
    </cfRule>
  </conditionalFormatting>
  <conditionalFormatting sqref="Q360:T360">
    <cfRule type="containsErrors" dxfId="884" priority="1946" stopIfTrue="1">
      <formula>ISERROR(Q360)</formula>
    </cfRule>
    <cfRule type="cellIs" dxfId="883" priority="1947" stopIfTrue="1" operator="equal">
      <formula>FALSE</formula>
    </cfRule>
    <cfRule type="expression" dxfId="882" priority="1948" stopIfTrue="1">
      <formula>OR(Q361=0,Q362=0)</formula>
    </cfRule>
    <cfRule type="cellIs" dxfId="881" priority="1949" stopIfTrue="1" operator="equal">
      <formula>TRUE</formula>
    </cfRule>
    <cfRule type="containsText" dxfId="880" priority="1950" stopIfTrue="1" operator="containsText" text="N/A">
      <formula>NOT(ISERROR(SEARCH("N/A",Q360)))</formula>
    </cfRule>
  </conditionalFormatting>
  <conditionalFormatting sqref="Q393:T393">
    <cfRule type="containsErrors" dxfId="879" priority="1941" stopIfTrue="1">
      <formula>ISERROR(Q393)</formula>
    </cfRule>
    <cfRule type="cellIs" dxfId="878" priority="1942" stopIfTrue="1" operator="equal">
      <formula>FALSE</formula>
    </cfRule>
    <cfRule type="expression" dxfId="877" priority="1943" stopIfTrue="1">
      <formula>OR(Q394=0,Q395=0)</formula>
    </cfRule>
    <cfRule type="cellIs" dxfId="876" priority="1944" stopIfTrue="1" operator="equal">
      <formula>TRUE</formula>
    </cfRule>
    <cfRule type="containsText" dxfId="875" priority="1945" stopIfTrue="1" operator="containsText" text="N/A">
      <formula>NOT(ISERROR(SEARCH("N/A",Q393)))</formula>
    </cfRule>
  </conditionalFormatting>
  <conditionalFormatting sqref="Q396:T396">
    <cfRule type="containsErrors" dxfId="874" priority="1936" stopIfTrue="1">
      <formula>ISERROR(Q396)</formula>
    </cfRule>
    <cfRule type="cellIs" dxfId="873" priority="1937" stopIfTrue="1" operator="equal">
      <formula>FALSE</formula>
    </cfRule>
    <cfRule type="expression" dxfId="872" priority="1938" stopIfTrue="1">
      <formula>OR(Q397=0,Q398=0)</formula>
    </cfRule>
    <cfRule type="cellIs" dxfId="871" priority="1939" stopIfTrue="1" operator="equal">
      <formula>TRUE</formula>
    </cfRule>
    <cfRule type="containsText" dxfId="870" priority="1940" stopIfTrue="1" operator="containsText" text="N/A">
      <formula>NOT(ISERROR(SEARCH("N/A",Q396)))</formula>
    </cfRule>
  </conditionalFormatting>
  <conditionalFormatting sqref="Q401:T401">
    <cfRule type="containsErrors" dxfId="869" priority="1931" stopIfTrue="1">
      <formula>ISERROR(Q401)</formula>
    </cfRule>
    <cfRule type="cellIs" dxfId="868" priority="1932" stopIfTrue="1" operator="equal">
      <formula>FALSE</formula>
    </cfRule>
    <cfRule type="expression" dxfId="867" priority="1933" stopIfTrue="1">
      <formula>OR(Q402=0,Q403=0)</formula>
    </cfRule>
    <cfRule type="cellIs" dxfId="866" priority="1934" stopIfTrue="1" operator="equal">
      <formula>TRUE</formula>
    </cfRule>
    <cfRule type="containsText" dxfId="865" priority="1935" stopIfTrue="1" operator="containsText" text="N/A">
      <formula>NOT(ISERROR(SEARCH("N/A",Q401)))</formula>
    </cfRule>
  </conditionalFormatting>
  <conditionalFormatting sqref="Q363:T363">
    <cfRule type="containsErrors" dxfId="864" priority="1926" stopIfTrue="1">
      <formula>ISERROR(Q363)</formula>
    </cfRule>
    <cfRule type="cellIs" dxfId="863" priority="1927" stopIfTrue="1" operator="equal">
      <formula>FALSE</formula>
    </cfRule>
    <cfRule type="expression" dxfId="862" priority="1928" stopIfTrue="1">
      <formula>OR(Q364=0,Q365=0)</formula>
    </cfRule>
    <cfRule type="cellIs" dxfId="861" priority="1929" stopIfTrue="1" operator="equal">
      <formula>TRUE</formula>
    </cfRule>
    <cfRule type="containsText" dxfId="860" priority="1930" stopIfTrue="1" operator="containsText" text="N/A">
      <formula>NOT(ISERROR(SEARCH("N/A",Q363)))</formula>
    </cfRule>
  </conditionalFormatting>
  <conditionalFormatting sqref="Q366:T366">
    <cfRule type="containsErrors" dxfId="859" priority="1921" stopIfTrue="1">
      <formula>ISERROR(Q366)</formula>
    </cfRule>
    <cfRule type="cellIs" dxfId="858" priority="1922" stopIfTrue="1" operator="equal">
      <formula>FALSE</formula>
    </cfRule>
    <cfRule type="expression" dxfId="857" priority="1923" stopIfTrue="1">
      <formula>OR(Q367=0,Q368=0)</formula>
    </cfRule>
    <cfRule type="cellIs" dxfId="856" priority="1924" stopIfTrue="1" operator="equal">
      <formula>TRUE</formula>
    </cfRule>
    <cfRule type="containsText" dxfId="855" priority="1925" stopIfTrue="1" operator="containsText" text="N/A">
      <formula>NOT(ISERROR(SEARCH("N/A",Q366)))</formula>
    </cfRule>
  </conditionalFormatting>
  <conditionalFormatting sqref="Q369:T369">
    <cfRule type="containsErrors" dxfId="854" priority="1916" stopIfTrue="1">
      <formula>ISERROR(Q369)</formula>
    </cfRule>
    <cfRule type="cellIs" dxfId="853" priority="1917" stopIfTrue="1" operator="equal">
      <formula>FALSE</formula>
    </cfRule>
    <cfRule type="expression" dxfId="852" priority="1918" stopIfTrue="1">
      <formula>OR(Q370=0,Q371=0)</formula>
    </cfRule>
    <cfRule type="cellIs" dxfId="851" priority="1919" stopIfTrue="1" operator="equal">
      <formula>TRUE</formula>
    </cfRule>
    <cfRule type="containsText" dxfId="850" priority="1920" stopIfTrue="1" operator="containsText" text="N/A">
      <formula>NOT(ISERROR(SEARCH("N/A",Q369)))</formula>
    </cfRule>
  </conditionalFormatting>
  <conditionalFormatting sqref="Q372:T372">
    <cfRule type="containsErrors" dxfId="849" priority="1911" stopIfTrue="1">
      <formula>ISERROR(Q372)</formula>
    </cfRule>
    <cfRule type="cellIs" dxfId="848" priority="1912" stopIfTrue="1" operator="equal">
      <formula>FALSE</formula>
    </cfRule>
    <cfRule type="expression" dxfId="847" priority="1913" stopIfTrue="1">
      <formula>OR(Q373=0,Q374=0)</formula>
    </cfRule>
    <cfRule type="cellIs" dxfId="846" priority="1914" stopIfTrue="1" operator="equal">
      <formula>TRUE</formula>
    </cfRule>
    <cfRule type="containsText" dxfId="845" priority="1915" stopIfTrue="1" operator="containsText" text="N/A">
      <formula>NOT(ISERROR(SEARCH("N/A",Q372)))</formula>
    </cfRule>
  </conditionalFormatting>
  <conditionalFormatting sqref="Q375:T375">
    <cfRule type="containsErrors" dxfId="844" priority="1906" stopIfTrue="1">
      <formula>ISERROR(Q375)</formula>
    </cfRule>
    <cfRule type="cellIs" dxfId="843" priority="1907" stopIfTrue="1" operator="equal">
      <formula>FALSE</formula>
    </cfRule>
    <cfRule type="expression" dxfId="842" priority="1908" stopIfTrue="1">
      <formula>OR(Q376=0,Q377=0)</formula>
    </cfRule>
    <cfRule type="cellIs" dxfId="841" priority="1909" stopIfTrue="1" operator="equal">
      <formula>TRUE</formula>
    </cfRule>
    <cfRule type="containsText" dxfId="840" priority="1910" stopIfTrue="1" operator="containsText" text="N/A">
      <formula>NOT(ISERROR(SEARCH("N/A",Q375)))</formula>
    </cfRule>
  </conditionalFormatting>
  <conditionalFormatting sqref="Q378:T378">
    <cfRule type="containsErrors" dxfId="839" priority="1901" stopIfTrue="1">
      <formula>ISERROR(Q378)</formula>
    </cfRule>
    <cfRule type="cellIs" dxfId="838" priority="1902" stopIfTrue="1" operator="equal">
      <formula>FALSE</formula>
    </cfRule>
    <cfRule type="expression" dxfId="837" priority="1903" stopIfTrue="1">
      <formula>OR(Q379=0,Q380=0)</formula>
    </cfRule>
    <cfRule type="cellIs" dxfId="836" priority="1904" stopIfTrue="1" operator="equal">
      <formula>TRUE</formula>
    </cfRule>
    <cfRule type="containsText" dxfId="835" priority="1905" stopIfTrue="1" operator="containsText" text="N/A">
      <formula>NOT(ISERROR(SEARCH("N/A",Q378)))</formula>
    </cfRule>
  </conditionalFormatting>
  <conditionalFormatting sqref="Q381:T381">
    <cfRule type="containsErrors" dxfId="834" priority="1896" stopIfTrue="1">
      <formula>ISERROR(Q381)</formula>
    </cfRule>
    <cfRule type="cellIs" dxfId="833" priority="1897" stopIfTrue="1" operator="equal">
      <formula>FALSE</formula>
    </cfRule>
    <cfRule type="expression" dxfId="832" priority="1898" stopIfTrue="1">
      <formula>OR(Q382=0,Q383=0)</formula>
    </cfRule>
    <cfRule type="cellIs" dxfId="831" priority="1899" stopIfTrue="1" operator="equal">
      <formula>TRUE</formula>
    </cfRule>
    <cfRule type="containsText" dxfId="830" priority="1900" stopIfTrue="1" operator="containsText" text="N/A">
      <formula>NOT(ISERROR(SEARCH("N/A",Q381)))</formula>
    </cfRule>
  </conditionalFormatting>
  <conditionalFormatting sqref="Q384:T384">
    <cfRule type="containsErrors" dxfId="829" priority="1891" stopIfTrue="1">
      <formula>ISERROR(Q384)</formula>
    </cfRule>
    <cfRule type="cellIs" dxfId="828" priority="1892" stopIfTrue="1" operator="equal">
      <formula>FALSE</formula>
    </cfRule>
    <cfRule type="expression" dxfId="827" priority="1893" stopIfTrue="1">
      <formula>OR(Q385=0,Q386=0)</formula>
    </cfRule>
    <cfRule type="cellIs" dxfId="826" priority="1894" stopIfTrue="1" operator="equal">
      <formula>TRUE</formula>
    </cfRule>
    <cfRule type="containsText" dxfId="825" priority="1895" stopIfTrue="1" operator="containsText" text="N/A">
      <formula>NOT(ISERROR(SEARCH("N/A",Q384)))</formula>
    </cfRule>
  </conditionalFormatting>
  <conditionalFormatting sqref="Q357:T357">
    <cfRule type="containsErrors" dxfId="824" priority="1886" stopIfTrue="1">
      <formula>ISERROR(Q357)</formula>
    </cfRule>
    <cfRule type="cellIs" dxfId="823" priority="1887" stopIfTrue="1" operator="equal">
      <formula>FALSE</formula>
    </cfRule>
    <cfRule type="expression" dxfId="822" priority="1888" stopIfTrue="1">
      <formula>OR(Q358=0,Q359=0)</formula>
    </cfRule>
    <cfRule type="cellIs" dxfId="821" priority="1889" stopIfTrue="1" operator="equal">
      <formula>TRUE</formula>
    </cfRule>
    <cfRule type="containsText" dxfId="820" priority="1890" stopIfTrue="1" operator="containsText" text="N/A">
      <formula>NOT(ISERROR(SEARCH("N/A",Q357)))</formula>
    </cfRule>
  </conditionalFormatting>
  <conditionalFormatting sqref="Q387:T387">
    <cfRule type="containsErrors" dxfId="819" priority="1881" stopIfTrue="1">
      <formula>ISERROR(Q387)</formula>
    </cfRule>
    <cfRule type="cellIs" dxfId="818" priority="1882" stopIfTrue="1" operator="equal">
      <formula>FALSE</formula>
    </cfRule>
    <cfRule type="expression" dxfId="817" priority="1883" stopIfTrue="1">
      <formula>OR(Q388=0,Q389=0)</formula>
    </cfRule>
    <cfRule type="cellIs" dxfId="816" priority="1884" stopIfTrue="1" operator="equal">
      <formula>TRUE</formula>
    </cfRule>
    <cfRule type="containsText" dxfId="815" priority="1885" stopIfTrue="1" operator="containsText" text="N/A">
      <formula>NOT(ISERROR(SEARCH("N/A",Q387)))</formula>
    </cfRule>
  </conditionalFormatting>
  <conditionalFormatting sqref="Q443:T443">
    <cfRule type="containsErrors" dxfId="814" priority="1816" stopIfTrue="1">
      <formula>ISERROR(Q443)</formula>
    </cfRule>
    <cfRule type="cellIs" dxfId="813" priority="1817" stopIfTrue="1" operator="equal">
      <formula>FALSE</formula>
    </cfRule>
    <cfRule type="expression" dxfId="812" priority="1818" stopIfTrue="1">
      <formula>OR(Q444=0,Q445=0)</formula>
    </cfRule>
    <cfRule type="cellIs" dxfId="811" priority="1819" stopIfTrue="1" operator="equal">
      <formula>TRUE</formula>
    </cfRule>
    <cfRule type="containsText" dxfId="810" priority="1820" stopIfTrue="1" operator="containsText" text="N/A">
      <formula>NOT(ISERROR(SEARCH("N/A",Q443)))</formula>
    </cfRule>
  </conditionalFormatting>
  <conditionalFormatting sqref="Q449:T449">
    <cfRule type="containsErrors" dxfId="809" priority="1806" stopIfTrue="1">
      <formula>ISERROR(Q449)</formula>
    </cfRule>
    <cfRule type="cellIs" dxfId="808" priority="1807" stopIfTrue="1" operator="equal">
      <formula>FALSE</formula>
    </cfRule>
    <cfRule type="expression" dxfId="807" priority="1808" stopIfTrue="1">
      <formula>OR(Q450=0,Q451=0)</formula>
    </cfRule>
    <cfRule type="cellIs" dxfId="806" priority="1809" stopIfTrue="1" operator="equal">
      <formula>TRUE</formula>
    </cfRule>
    <cfRule type="containsText" dxfId="805" priority="1810" stopIfTrue="1" operator="containsText" text="N/A">
      <formula>NOT(ISERROR(SEARCH("N/A",Q449)))</formula>
    </cfRule>
  </conditionalFormatting>
  <conditionalFormatting sqref="Q455:T455">
    <cfRule type="containsErrors" dxfId="804" priority="1796" stopIfTrue="1">
      <formula>ISERROR(Q455)</formula>
    </cfRule>
    <cfRule type="cellIs" dxfId="803" priority="1797" stopIfTrue="1" operator="equal">
      <formula>FALSE</formula>
    </cfRule>
    <cfRule type="expression" dxfId="802" priority="1798" stopIfTrue="1">
      <formula>OR(Q456=0,Q457=0)</formula>
    </cfRule>
    <cfRule type="cellIs" dxfId="801" priority="1799" stopIfTrue="1" operator="equal">
      <formula>TRUE</formula>
    </cfRule>
    <cfRule type="containsText" dxfId="800" priority="1800" stopIfTrue="1" operator="containsText" text="N/A">
      <formula>NOT(ISERROR(SEARCH("N/A",Q455)))</formula>
    </cfRule>
  </conditionalFormatting>
  <conditionalFormatting sqref="Q417:T417 Q419:T419 Q421:T421 Q423:T423">
    <cfRule type="containsErrors" dxfId="799" priority="1981" stopIfTrue="1">
      <formula>ISERROR(Q417)</formula>
    </cfRule>
    <cfRule type="cellIs" dxfId="798" priority="1982" stopIfTrue="1" operator="equal">
      <formula>FALSE</formula>
    </cfRule>
    <cfRule type="expression" dxfId="797" priority="1983" stopIfTrue="1">
      <formula>OR(Q418=0,#REF!=0)</formula>
    </cfRule>
    <cfRule type="cellIs" dxfId="796" priority="1984" stopIfTrue="1" operator="equal">
      <formula>TRUE</formula>
    </cfRule>
    <cfRule type="containsText" dxfId="795" priority="1985" stopIfTrue="1" operator="containsText" text="N/A">
      <formula>NOT(ISERROR(SEARCH("N/A",Q417)))</formula>
    </cfRule>
  </conditionalFormatting>
  <conditionalFormatting sqref="Q405:T405">
    <cfRule type="containsErrors" dxfId="794" priority="1876" stopIfTrue="1">
      <formula>ISERROR(Q405)</formula>
    </cfRule>
    <cfRule type="cellIs" dxfId="793" priority="1877" stopIfTrue="1" operator="equal">
      <formula>FALSE</formula>
    </cfRule>
    <cfRule type="expression" dxfId="792" priority="1878" stopIfTrue="1">
      <formula>OR(Q406=0,Q407=0)</formula>
    </cfRule>
    <cfRule type="cellIs" dxfId="791" priority="1879" stopIfTrue="1" operator="equal">
      <formula>TRUE</formula>
    </cfRule>
    <cfRule type="containsText" dxfId="790" priority="1880" stopIfTrue="1" operator="containsText" text="N/A">
      <formula>NOT(ISERROR(SEARCH("N/A",Q405)))</formula>
    </cfRule>
  </conditionalFormatting>
  <conditionalFormatting sqref="R411:T411">
    <cfRule type="containsErrors" dxfId="789" priority="1871" stopIfTrue="1">
      <formula>ISERROR(R411)</formula>
    </cfRule>
    <cfRule type="cellIs" dxfId="788" priority="1872" stopIfTrue="1" operator="equal">
      <formula>FALSE</formula>
    </cfRule>
    <cfRule type="expression" dxfId="787" priority="1873" stopIfTrue="1">
      <formula>OR(R412=0,R413=0)</formula>
    </cfRule>
    <cfRule type="cellIs" dxfId="786" priority="1874" stopIfTrue="1" operator="equal">
      <formula>TRUE</formula>
    </cfRule>
    <cfRule type="containsText" dxfId="785" priority="1875" stopIfTrue="1" operator="containsText" text="N/A">
      <formula>NOT(ISERROR(SEARCH("N/A",R411)))</formula>
    </cfRule>
  </conditionalFormatting>
  <conditionalFormatting sqref="Q425:T425">
    <cfRule type="containsErrors" dxfId="784" priority="1866" stopIfTrue="1">
      <formula>ISERROR(Q425)</formula>
    </cfRule>
    <cfRule type="cellIs" dxfId="783" priority="1867" stopIfTrue="1" operator="equal">
      <formula>FALSE</formula>
    </cfRule>
    <cfRule type="expression" dxfId="782" priority="1868" stopIfTrue="1">
      <formula>OR(Q426=0,Q427=0)</formula>
    </cfRule>
    <cfRule type="cellIs" dxfId="781" priority="1869" stopIfTrue="1" operator="equal">
      <formula>TRUE</formula>
    </cfRule>
    <cfRule type="containsText" dxfId="780" priority="1870" stopIfTrue="1" operator="containsText" text="N/A">
      <formula>NOT(ISERROR(SEARCH("N/A",Q425)))</formula>
    </cfRule>
  </conditionalFormatting>
  <conditionalFormatting sqref="Q464:T464">
    <cfRule type="containsErrors" dxfId="779" priority="1861" stopIfTrue="1">
      <formula>ISERROR(Q464)</formula>
    </cfRule>
    <cfRule type="cellIs" dxfId="778" priority="1862" stopIfTrue="1" operator="equal">
      <formula>FALSE</formula>
    </cfRule>
    <cfRule type="expression" dxfId="777" priority="1863" stopIfTrue="1">
      <formula>OR(Q465=0,Q466=0)</formula>
    </cfRule>
    <cfRule type="cellIs" dxfId="776" priority="1864" stopIfTrue="1" operator="equal">
      <formula>TRUE</formula>
    </cfRule>
    <cfRule type="containsText" dxfId="775" priority="1865" stopIfTrue="1" operator="containsText" text="N/A">
      <formula>NOT(ISERROR(SEARCH("N/A",Q464)))</formula>
    </cfRule>
  </conditionalFormatting>
  <conditionalFormatting sqref="Q408:T408">
    <cfRule type="containsErrors" dxfId="774" priority="1856" stopIfTrue="1">
      <formula>ISERROR(Q408)</formula>
    </cfRule>
    <cfRule type="cellIs" dxfId="773" priority="1857" stopIfTrue="1" operator="equal">
      <formula>FALSE</formula>
    </cfRule>
    <cfRule type="expression" dxfId="772" priority="1858" stopIfTrue="1">
      <formula>OR(Q409=0,Q410=0)</formula>
    </cfRule>
    <cfRule type="cellIs" dxfId="771" priority="1859" stopIfTrue="1" operator="equal">
      <formula>TRUE</formula>
    </cfRule>
    <cfRule type="containsText" dxfId="770" priority="1860" stopIfTrue="1" operator="containsText" text="N/A">
      <formula>NOT(ISERROR(SEARCH("N/A",Q408)))</formula>
    </cfRule>
  </conditionalFormatting>
  <conditionalFormatting sqref="Q434:T434">
    <cfRule type="containsErrors" dxfId="769" priority="1846" stopIfTrue="1">
      <formula>ISERROR(Q434)</formula>
    </cfRule>
    <cfRule type="cellIs" dxfId="768" priority="1847" stopIfTrue="1" operator="equal">
      <formula>FALSE</formula>
    </cfRule>
    <cfRule type="expression" dxfId="767" priority="1848" stopIfTrue="1">
      <formula>OR(Q435=0,Q436=0)</formula>
    </cfRule>
    <cfRule type="cellIs" dxfId="766" priority="1849" stopIfTrue="1" operator="equal">
      <formula>TRUE</formula>
    </cfRule>
    <cfRule type="containsText" dxfId="765" priority="1850" stopIfTrue="1" operator="containsText" text="N/A">
      <formula>NOT(ISERROR(SEARCH("N/A",Q434)))</formula>
    </cfRule>
  </conditionalFormatting>
  <conditionalFormatting sqref="Q467:T467">
    <cfRule type="containsErrors" dxfId="764" priority="1841" stopIfTrue="1">
      <formula>ISERROR(Q467)</formula>
    </cfRule>
    <cfRule type="cellIs" dxfId="763" priority="1842" stopIfTrue="1" operator="equal">
      <formula>FALSE</formula>
    </cfRule>
    <cfRule type="expression" dxfId="762" priority="1843" stopIfTrue="1">
      <formula>OR(Q468=0,Q469=0)</formula>
    </cfRule>
    <cfRule type="cellIs" dxfId="761" priority="1844" stopIfTrue="1" operator="equal">
      <formula>TRUE</formula>
    </cfRule>
    <cfRule type="containsText" dxfId="760" priority="1845" stopIfTrue="1" operator="containsText" text="N/A">
      <formula>NOT(ISERROR(SEARCH("N/A",Q467)))</formula>
    </cfRule>
  </conditionalFormatting>
  <conditionalFormatting sqref="Q414:T414">
    <cfRule type="containsErrors" dxfId="759" priority="1851" stopIfTrue="1">
      <formula>ISERROR(Q414)</formula>
    </cfRule>
    <cfRule type="cellIs" dxfId="758" priority="1852" stopIfTrue="1" operator="equal">
      <formula>FALSE</formula>
    </cfRule>
    <cfRule type="expression" dxfId="757" priority="1853" stopIfTrue="1">
      <formula>OR(Q415=0,Q416=0)</formula>
    </cfRule>
    <cfRule type="cellIs" dxfId="756" priority="1854" stopIfTrue="1" operator="equal">
      <formula>TRUE</formula>
    </cfRule>
    <cfRule type="containsText" dxfId="755" priority="1855" stopIfTrue="1" operator="containsText" text="N/A">
      <formula>NOT(ISERROR(SEARCH("N/A",Q414)))</formula>
    </cfRule>
  </conditionalFormatting>
  <conditionalFormatting sqref="Q437:T437">
    <cfRule type="containsErrors" dxfId="754" priority="1826" stopIfTrue="1">
      <formula>ISERROR(Q437)</formula>
    </cfRule>
    <cfRule type="cellIs" dxfId="753" priority="1827" stopIfTrue="1" operator="equal">
      <formula>FALSE</formula>
    </cfRule>
    <cfRule type="expression" dxfId="752" priority="1828" stopIfTrue="1">
      <formula>OR(Q438=0,Q439=0)</formula>
    </cfRule>
    <cfRule type="cellIs" dxfId="751" priority="1829" stopIfTrue="1" operator="equal">
      <formula>TRUE</formula>
    </cfRule>
    <cfRule type="containsText" dxfId="750" priority="1830" stopIfTrue="1" operator="containsText" text="N/A">
      <formula>NOT(ISERROR(SEARCH("N/A",Q437)))</formula>
    </cfRule>
  </conditionalFormatting>
  <conditionalFormatting sqref="Q470:T470">
    <cfRule type="containsErrors" dxfId="749" priority="1836" stopIfTrue="1">
      <formula>ISERROR(Q470)</formula>
    </cfRule>
    <cfRule type="cellIs" dxfId="748" priority="1837" stopIfTrue="1" operator="equal">
      <formula>FALSE</formula>
    </cfRule>
    <cfRule type="expression" dxfId="747" priority="1838" stopIfTrue="1">
      <formula>OR(Q471=0,Q472=0)</formula>
    </cfRule>
    <cfRule type="cellIs" dxfId="746" priority="1839" stopIfTrue="1" operator="equal">
      <formula>TRUE</formula>
    </cfRule>
    <cfRule type="containsText" dxfId="745" priority="1840" stopIfTrue="1" operator="containsText" text="N/A">
      <formula>NOT(ISERROR(SEARCH("N/A",Q470)))</formula>
    </cfRule>
  </conditionalFormatting>
  <conditionalFormatting sqref="Q440:T440">
    <cfRule type="containsErrors" dxfId="744" priority="1821" stopIfTrue="1">
      <formula>ISERROR(Q440)</formula>
    </cfRule>
    <cfRule type="cellIs" dxfId="743" priority="1822" stopIfTrue="1" operator="equal">
      <formula>FALSE</formula>
    </cfRule>
    <cfRule type="expression" dxfId="742" priority="1823" stopIfTrue="1">
      <formula>OR(Q441=0,Q442=0)</formula>
    </cfRule>
    <cfRule type="cellIs" dxfId="741" priority="1824" stopIfTrue="1" operator="equal">
      <formula>TRUE</formula>
    </cfRule>
    <cfRule type="containsText" dxfId="740" priority="1825" stopIfTrue="1" operator="containsText" text="N/A">
      <formula>NOT(ISERROR(SEARCH("N/A",Q440)))</formula>
    </cfRule>
  </conditionalFormatting>
  <conditionalFormatting sqref="Q475:T475">
    <cfRule type="containsErrors" dxfId="739" priority="1831" stopIfTrue="1">
      <formula>ISERROR(Q475)</formula>
    </cfRule>
    <cfRule type="cellIs" dxfId="738" priority="1832" stopIfTrue="1" operator="equal">
      <formula>FALSE</formula>
    </cfRule>
    <cfRule type="expression" dxfId="737" priority="1833" stopIfTrue="1">
      <formula>OR(Q476=0,Q477=0)</formula>
    </cfRule>
    <cfRule type="cellIs" dxfId="736" priority="1834" stopIfTrue="1" operator="equal">
      <formula>TRUE</formula>
    </cfRule>
    <cfRule type="containsText" dxfId="735" priority="1835" stopIfTrue="1" operator="containsText" text="N/A">
      <formula>NOT(ISERROR(SEARCH("N/A",Q475)))</formula>
    </cfRule>
  </conditionalFormatting>
  <conditionalFormatting sqref="Q446:T446">
    <cfRule type="containsErrors" dxfId="734" priority="1811" stopIfTrue="1">
      <formula>ISERROR(Q446)</formula>
    </cfRule>
    <cfRule type="cellIs" dxfId="733" priority="1812" stopIfTrue="1" operator="equal">
      <formula>FALSE</formula>
    </cfRule>
    <cfRule type="expression" dxfId="732" priority="1813" stopIfTrue="1">
      <formula>OR(Q447=0,Q448=0)</formula>
    </cfRule>
    <cfRule type="cellIs" dxfId="731" priority="1814" stopIfTrue="1" operator="equal">
      <formula>TRUE</formula>
    </cfRule>
    <cfRule type="containsText" dxfId="730" priority="1815" stopIfTrue="1" operator="containsText" text="N/A">
      <formula>NOT(ISERROR(SEARCH("N/A",Q446)))</formula>
    </cfRule>
  </conditionalFormatting>
  <conditionalFormatting sqref="Q452:T452">
    <cfRule type="containsErrors" dxfId="729" priority="1801" stopIfTrue="1">
      <formula>ISERROR(Q452)</formula>
    </cfRule>
    <cfRule type="cellIs" dxfId="728" priority="1802" stopIfTrue="1" operator="equal">
      <formula>FALSE</formula>
    </cfRule>
    <cfRule type="expression" dxfId="727" priority="1803" stopIfTrue="1">
      <formula>OR(Q453=0,Q454=0)</formula>
    </cfRule>
    <cfRule type="cellIs" dxfId="726" priority="1804" stopIfTrue="1" operator="equal">
      <formula>TRUE</formula>
    </cfRule>
    <cfRule type="containsText" dxfId="725" priority="1805" stopIfTrue="1" operator="containsText" text="N/A">
      <formula>NOT(ISERROR(SEARCH("N/A",Q452)))</formula>
    </cfRule>
  </conditionalFormatting>
  <conditionalFormatting sqref="Q458:T458">
    <cfRule type="containsErrors" dxfId="724" priority="1791" stopIfTrue="1">
      <formula>ISERROR(Q458)</formula>
    </cfRule>
    <cfRule type="cellIs" dxfId="723" priority="1792" stopIfTrue="1" operator="equal">
      <formula>FALSE</formula>
    </cfRule>
    <cfRule type="expression" dxfId="722" priority="1793" stopIfTrue="1">
      <formula>OR(Q459=0,Q460=0)</formula>
    </cfRule>
    <cfRule type="cellIs" dxfId="721" priority="1794" stopIfTrue="1" operator="equal">
      <formula>TRUE</formula>
    </cfRule>
    <cfRule type="containsText" dxfId="720" priority="1795" stopIfTrue="1" operator="containsText" text="N/A">
      <formula>NOT(ISERROR(SEARCH("N/A",Q458)))</formula>
    </cfRule>
  </conditionalFormatting>
  <conditionalFormatting sqref="Q431:T431">
    <cfRule type="containsErrors" dxfId="719" priority="1786" stopIfTrue="1">
      <formula>ISERROR(Q431)</formula>
    </cfRule>
    <cfRule type="cellIs" dxfId="718" priority="1787" stopIfTrue="1" operator="equal">
      <formula>FALSE</formula>
    </cfRule>
    <cfRule type="expression" dxfId="717" priority="1788" stopIfTrue="1">
      <formula>OR(Q432=0,Q433=0)</formula>
    </cfRule>
    <cfRule type="cellIs" dxfId="716" priority="1789" stopIfTrue="1" operator="equal">
      <formula>TRUE</formula>
    </cfRule>
    <cfRule type="containsText" dxfId="715" priority="1790" stopIfTrue="1" operator="containsText" text="N/A">
      <formula>NOT(ISERROR(SEARCH("N/A",Q431)))</formula>
    </cfRule>
  </conditionalFormatting>
  <conditionalFormatting sqref="Q461:T461">
    <cfRule type="containsErrors" dxfId="714" priority="1781" stopIfTrue="1">
      <formula>ISERROR(Q461)</formula>
    </cfRule>
    <cfRule type="cellIs" dxfId="713" priority="1782" stopIfTrue="1" operator="equal">
      <formula>FALSE</formula>
    </cfRule>
    <cfRule type="expression" dxfId="712" priority="1783" stopIfTrue="1">
      <formula>OR(Q462=0,Q463=0)</formula>
    </cfRule>
    <cfRule type="cellIs" dxfId="711" priority="1784" stopIfTrue="1" operator="equal">
      <formula>TRUE</formula>
    </cfRule>
    <cfRule type="containsText" dxfId="710" priority="1785" stopIfTrue="1" operator="containsText" text="N/A">
      <formula>NOT(ISERROR(SEARCH("N/A",Q461)))</formula>
    </cfRule>
  </conditionalFormatting>
  <conditionalFormatting sqref="Q532:T532">
    <cfRule type="containsErrors" dxfId="709" priority="1736" stopIfTrue="1">
      <formula>ISERROR(Q532)</formula>
    </cfRule>
    <cfRule type="cellIs" dxfId="708" priority="1737" stopIfTrue="1" operator="equal">
      <formula>FALSE</formula>
    </cfRule>
    <cfRule type="expression" dxfId="707" priority="1738" stopIfTrue="1">
      <formula>OR(Q533=0,Q534=0)</formula>
    </cfRule>
    <cfRule type="cellIs" dxfId="706" priority="1739" stopIfTrue="1" operator="equal">
      <formula>TRUE</formula>
    </cfRule>
    <cfRule type="containsText" dxfId="705" priority="1740" stopIfTrue="1" operator="containsText" text="N/A">
      <formula>NOT(ISERROR(SEARCH("N/A",Q532)))</formula>
    </cfRule>
  </conditionalFormatting>
  <conditionalFormatting sqref="Q514:T514">
    <cfRule type="containsErrors" dxfId="704" priority="1701" stopIfTrue="1">
      <formula>ISERROR(Q514)</formula>
    </cfRule>
    <cfRule type="cellIs" dxfId="703" priority="1702" stopIfTrue="1" operator="equal">
      <formula>FALSE</formula>
    </cfRule>
    <cfRule type="expression" dxfId="702" priority="1703" stopIfTrue="1">
      <formula>OR(Q515=0,Q516=0)</formula>
    </cfRule>
    <cfRule type="cellIs" dxfId="701" priority="1704" stopIfTrue="1" operator="equal">
      <formula>TRUE</formula>
    </cfRule>
    <cfRule type="containsText" dxfId="700" priority="1705" stopIfTrue="1" operator="containsText" text="N/A">
      <formula>NOT(ISERROR(SEARCH("N/A",Q514)))</formula>
    </cfRule>
  </conditionalFormatting>
  <conditionalFormatting sqref="Q591:T591">
    <cfRule type="containsErrors" dxfId="699" priority="1631" stopIfTrue="1">
      <formula>ISERROR(Q591)</formula>
    </cfRule>
    <cfRule type="cellIs" dxfId="698" priority="1632" stopIfTrue="1" operator="equal">
      <formula>FALSE</formula>
    </cfRule>
    <cfRule type="expression" dxfId="697" priority="1633" stopIfTrue="1">
      <formula>OR(Q592=0,Q593=0)</formula>
    </cfRule>
    <cfRule type="cellIs" dxfId="696" priority="1634" stopIfTrue="1" operator="equal">
      <formula>TRUE</formula>
    </cfRule>
    <cfRule type="containsText" dxfId="695" priority="1635" stopIfTrue="1" operator="containsText" text="N/A">
      <formula>NOT(ISERROR(SEARCH("N/A",Q591)))</formula>
    </cfRule>
  </conditionalFormatting>
  <conditionalFormatting sqref="Q511:T511">
    <cfRule type="containsErrors" dxfId="694" priority="1706" stopIfTrue="1">
      <formula>ISERROR(Q511)</formula>
    </cfRule>
    <cfRule type="cellIs" dxfId="693" priority="1707" stopIfTrue="1" operator="equal">
      <formula>FALSE</formula>
    </cfRule>
    <cfRule type="expression" dxfId="692" priority="1708" stopIfTrue="1">
      <formula>OR(Q512=0,Q513=0)</formula>
    </cfRule>
    <cfRule type="cellIs" dxfId="691" priority="1709" stopIfTrue="1" operator="equal">
      <formula>TRUE</formula>
    </cfRule>
    <cfRule type="containsText" dxfId="690" priority="1710" stopIfTrue="1" operator="containsText" text="N/A">
      <formula>NOT(ISERROR(SEARCH("N/A",Q511)))</formula>
    </cfRule>
  </conditionalFormatting>
  <conditionalFormatting sqref="Q535:T535">
    <cfRule type="containsErrors" dxfId="689" priority="1731" stopIfTrue="1">
      <formula>ISERROR(Q535)</formula>
    </cfRule>
    <cfRule type="cellIs" dxfId="688" priority="1732" stopIfTrue="1" operator="equal">
      <formula>FALSE</formula>
    </cfRule>
    <cfRule type="expression" dxfId="687" priority="1733" stopIfTrue="1">
      <formula>OR(Q536=0,Q537=0)</formula>
    </cfRule>
    <cfRule type="cellIs" dxfId="686" priority="1734" stopIfTrue="1" operator="equal">
      <formula>TRUE</formula>
    </cfRule>
    <cfRule type="containsText" dxfId="685" priority="1735" stopIfTrue="1" operator="containsText" text="N/A">
      <formula>NOT(ISERROR(SEARCH("N/A",Q535)))</formula>
    </cfRule>
  </conditionalFormatting>
  <conditionalFormatting sqref="Q540:T540">
    <cfRule type="containsErrors" dxfId="684" priority="1726" stopIfTrue="1">
      <formula>ISERROR(Q540)</formula>
    </cfRule>
    <cfRule type="cellIs" dxfId="683" priority="1727" stopIfTrue="1" operator="equal">
      <formula>FALSE</formula>
    </cfRule>
    <cfRule type="expression" dxfId="682" priority="1728" stopIfTrue="1">
      <formula>OR(Q541=0,Q542=0)</formula>
    </cfRule>
    <cfRule type="cellIs" dxfId="681" priority="1729" stopIfTrue="1" operator="equal">
      <formula>TRUE</formula>
    </cfRule>
    <cfRule type="containsText" dxfId="680" priority="1730" stopIfTrue="1" operator="containsText" text="N/A">
      <formula>NOT(ISERROR(SEARCH("N/A",Q540)))</formula>
    </cfRule>
  </conditionalFormatting>
  <conditionalFormatting sqref="Q573:T573">
    <cfRule type="containsErrors" dxfId="679" priority="1596" stopIfTrue="1">
      <formula>ISERROR(Q573)</formula>
    </cfRule>
    <cfRule type="cellIs" dxfId="678" priority="1597" stopIfTrue="1" operator="equal">
      <formula>FALSE</formula>
    </cfRule>
    <cfRule type="expression" dxfId="677" priority="1598" stopIfTrue="1">
      <formula>OR(Q574=0,Q575=0)</formula>
    </cfRule>
    <cfRule type="cellIs" dxfId="676" priority="1599" stopIfTrue="1" operator="equal">
      <formula>TRUE</formula>
    </cfRule>
    <cfRule type="containsText" dxfId="675" priority="1600" stopIfTrue="1" operator="containsText" text="N/A">
      <formula>NOT(ISERROR(SEARCH("N/A",Q573)))</formula>
    </cfRule>
  </conditionalFormatting>
  <conditionalFormatting sqref="Q517:T517">
    <cfRule type="containsErrors" dxfId="674" priority="1696" stopIfTrue="1">
      <formula>ISERROR(Q517)</formula>
    </cfRule>
    <cfRule type="cellIs" dxfId="673" priority="1697" stopIfTrue="1" operator="equal">
      <formula>FALSE</formula>
    </cfRule>
    <cfRule type="expression" dxfId="672" priority="1698" stopIfTrue="1">
      <formula>OR(Q518=0,Q519=0)</formula>
    </cfRule>
    <cfRule type="cellIs" dxfId="671" priority="1699" stopIfTrue="1" operator="equal">
      <formula>TRUE</formula>
    </cfRule>
    <cfRule type="containsText" dxfId="670" priority="1700" stopIfTrue="1" operator="containsText" text="N/A">
      <formula>NOT(ISERROR(SEARCH("N/A",Q517)))</formula>
    </cfRule>
  </conditionalFormatting>
  <conditionalFormatting sqref="Q570:T570">
    <cfRule type="containsErrors" dxfId="669" priority="1601" stopIfTrue="1">
      <formula>ISERROR(Q570)</formula>
    </cfRule>
    <cfRule type="cellIs" dxfId="668" priority="1602" stopIfTrue="1" operator="equal">
      <formula>FALSE</formula>
    </cfRule>
    <cfRule type="expression" dxfId="667" priority="1603" stopIfTrue="1">
      <formula>OR(Q571=0,Q572=0)</formula>
    </cfRule>
    <cfRule type="cellIs" dxfId="666" priority="1604" stopIfTrue="1" operator="equal">
      <formula>TRUE</formula>
    </cfRule>
    <cfRule type="containsText" dxfId="665" priority="1605" stopIfTrue="1" operator="containsText" text="N/A">
      <formula>NOT(ISERROR(SEARCH("N/A",Q570)))</formula>
    </cfRule>
  </conditionalFormatting>
  <conditionalFormatting sqref="Q479:T479">
    <cfRule type="containsErrors" dxfId="664" priority="1771" stopIfTrue="1">
      <formula>ISERROR(Q479)</formula>
    </cfRule>
    <cfRule type="cellIs" dxfId="663" priority="1772" stopIfTrue="1" operator="equal">
      <formula>FALSE</formula>
    </cfRule>
    <cfRule type="expression" dxfId="662" priority="1773" stopIfTrue="1">
      <formula>OR(Q480=0,Q481=0)</formula>
    </cfRule>
    <cfRule type="cellIs" dxfId="661" priority="1774" stopIfTrue="1" operator="equal">
      <formula>TRUE</formula>
    </cfRule>
    <cfRule type="containsText" dxfId="660" priority="1775" stopIfTrue="1" operator="containsText" text="N/A">
      <formula>NOT(ISERROR(SEARCH("N/A",Q479)))</formula>
    </cfRule>
  </conditionalFormatting>
  <conditionalFormatting sqref="R485:T485">
    <cfRule type="containsErrors" dxfId="659" priority="1766" stopIfTrue="1">
      <formula>ISERROR(R485)</formula>
    </cfRule>
    <cfRule type="cellIs" dxfId="658" priority="1767" stopIfTrue="1" operator="equal">
      <formula>FALSE</formula>
    </cfRule>
    <cfRule type="expression" dxfId="657" priority="1768" stopIfTrue="1">
      <formula>OR(R486=0,R487=0)</formula>
    </cfRule>
    <cfRule type="cellIs" dxfId="656" priority="1769" stopIfTrue="1" operator="equal">
      <formula>TRUE</formula>
    </cfRule>
    <cfRule type="containsText" dxfId="655" priority="1770" stopIfTrue="1" operator="containsText" text="N/A">
      <formula>NOT(ISERROR(SEARCH("N/A",R485)))</formula>
    </cfRule>
  </conditionalFormatting>
  <conditionalFormatting sqref="Q490:T490">
    <cfRule type="containsErrors" dxfId="654" priority="1761" stopIfTrue="1">
      <formula>ISERROR(Q490)</formula>
    </cfRule>
    <cfRule type="cellIs" dxfId="653" priority="1762" stopIfTrue="1" operator="equal">
      <formula>FALSE</formula>
    </cfRule>
    <cfRule type="expression" dxfId="652" priority="1763" stopIfTrue="1">
      <formula>OR(Q491=0,Q492=0)</formula>
    </cfRule>
    <cfRule type="cellIs" dxfId="651" priority="1764" stopIfTrue="1" operator="equal">
      <formula>TRUE</formula>
    </cfRule>
    <cfRule type="containsText" dxfId="650" priority="1765" stopIfTrue="1" operator="containsText" text="N/A">
      <formula>NOT(ISERROR(SEARCH("N/A",Q490)))</formula>
    </cfRule>
  </conditionalFormatting>
  <conditionalFormatting sqref="Q529:T529">
    <cfRule type="containsErrors" dxfId="649" priority="1756" stopIfTrue="1">
      <formula>ISERROR(Q529)</formula>
    </cfRule>
    <cfRule type="cellIs" dxfId="648" priority="1757" stopIfTrue="1" operator="equal">
      <formula>FALSE</formula>
    </cfRule>
    <cfRule type="expression" dxfId="647" priority="1758" stopIfTrue="1">
      <formula>OR(Q530=0,Q531=0)</formula>
    </cfRule>
    <cfRule type="cellIs" dxfId="646" priority="1759" stopIfTrue="1" operator="equal">
      <formula>TRUE</formula>
    </cfRule>
    <cfRule type="containsText" dxfId="645" priority="1760" stopIfTrue="1" operator="containsText" text="N/A">
      <formula>NOT(ISERROR(SEARCH("N/A",Q529)))</formula>
    </cfRule>
  </conditionalFormatting>
  <conditionalFormatting sqref="Q482:T482">
    <cfRule type="containsErrors" dxfId="644" priority="1751" stopIfTrue="1">
      <formula>ISERROR(Q482)</formula>
    </cfRule>
    <cfRule type="cellIs" dxfId="643" priority="1752" stopIfTrue="1" operator="equal">
      <formula>FALSE</formula>
    </cfRule>
    <cfRule type="expression" dxfId="642" priority="1753" stopIfTrue="1">
      <formula>OR(Q483=0,Q484=0)</formula>
    </cfRule>
    <cfRule type="cellIs" dxfId="641" priority="1754" stopIfTrue="1" operator="equal">
      <formula>TRUE</formula>
    </cfRule>
    <cfRule type="containsText" dxfId="640" priority="1755" stopIfTrue="1" operator="containsText" text="N/A">
      <formula>NOT(ISERROR(SEARCH("N/A",Q482)))</formula>
    </cfRule>
  </conditionalFormatting>
  <conditionalFormatting sqref="Q499:T499">
    <cfRule type="containsErrors" dxfId="639" priority="1741" stopIfTrue="1">
      <formula>ISERROR(Q499)</formula>
    </cfRule>
    <cfRule type="cellIs" dxfId="638" priority="1742" stopIfTrue="1" operator="equal">
      <formula>FALSE</formula>
    </cfRule>
    <cfRule type="expression" dxfId="637" priority="1743" stopIfTrue="1">
      <formula>OR(Q500=0,Q501=0)</formula>
    </cfRule>
    <cfRule type="cellIs" dxfId="636" priority="1744" stopIfTrue="1" operator="equal">
      <formula>TRUE</formula>
    </cfRule>
    <cfRule type="containsText" dxfId="635" priority="1745" stopIfTrue="1" operator="containsText" text="N/A">
      <formula>NOT(ISERROR(SEARCH("N/A",Q499)))</formula>
    </cfRule>
  </conditionalFormatting>
  <conditionalFormatting sqref="Q502:T502">
    <cfRule type="containsErrors" dxfId="634" priority="1721" stopIfTrue="1">
      <formula>ISERROR(Q502)</formula>
    </cfRule>
    <cfRule type="cellIs" dxfId="633" priority="1722" stopIfTrue="1" operator="equal">
      <formula>FALSE</formula>
    </cfRule>
    <cfRule type="expression" dxfId="632" priority="1723" stopIfTrue="1">
      <formula>OR(Q503=0,Q504=0)</formula>
    </cfRule>
    <cfRule type="cellIs" dxfId="631" priority="1724" stopIfTrue="1" operator="equal">
      <formula>TRUE</formula>
    </cfRule>
    <cfRule type="containsText" dxfId="630" priority="1725" stopIfTrue="1" operator="containsText" text="N/A">
      <formula>NOT(ISERROR(SEARCH("N/A",Q502)))</formula>
    </cfRule>
  </conditionalFormatting>
  <conditionalFormatting sqref="Q505:T505">
    <cfRule type="containsErrors" dxfId="629" priority="1716" stopIfTrue="1">
      <formula>ISERROR(Q505)</formula>
    </cfRule>
    <cfRule type="cellIs" dxfId="628" priority="1717" stopIfTrue="1" operator="equal">
      <formula>FALSE</formula>
    </cfRule>
    <cfRule type="expression" dxfId="627" priority="1718" stopIfTrue="1">
      <formula>OR(Q506=0,Q507=0)</formula>
    </cfRule>
    <cfRule type="cellIs" dxfId="626" priority="1719" stopIfTrue="1" operator="equal">
      <formula>TRUE</formula>
    </cfRule>
    <cfRule type="containsText" dxfId="625" priority="1720" stopIfTrue="1" operator="containsText" text="N/A">
      <formula>NOT(ISERROR(SEARCH("N/A",Q505)))</formula>
    </cfRule>
  </conditionalFormatting>
  <conditionalFormatting sqref="Q508:T508">
    <cfRule type="containsErrors" dxfId="624" priority="1711" stopIfTrue="1">
      <formula>ISERROR(Q508)</formula>
    </cfRule>
    <cfRule type="cellIs" dxfId="623" priority="1712" stopIfTrue="1" operator="equal">
      <formula>FALSE</formula>
    </cfRule>
    <cfRule type="expression" dxfId="622" priority="1713" stopIfTrue="1">
      <formula>OR(Q509=0,Q510=0)</formula>
    </cfRule>
    <cfRule type="cellIs" dxfId="621" priority="1714" stopIfTrue="1" operator="equal">
      <formula>TRUE</formula>
    </cfRule>
    <cfRule type="containsText" dxfId="620" priority="1715" stopIfTrue="1" operator="containsText" text="N/A">
      <formula>NOT(ISERROR(SEARCH("N/A",Q508)))</formula>
    </cfRule>
  </conditionalFormatting>
  <conditionalFormatting sqref="Q523:T523">
    <cfRule type="containsErrors" dxfId="619" priority="1686" stopIfTrue="1">
      <formula>ISERROR(Q523)</formula>
    </cfRule>
    <cfRule type="cellIs" dxfId="618" priority="1687" stopIfTrue="1" operator="equal">
      <formula>FALSE</formula>
    </cfRule>
    <cfRule type="expression" dxfId="617" priority="1688" stopIfTrue="1">
      <formula>OR(Q524=0,Q525=0)</formula>
    </cfRule>
    <cfRule type="cellIs" dxfId="616" priority="1689" stopIfTrue="1" operator="equal">
      <formula>TRUE</formula>
    </cfRule>
    <cfRule type="containsText" dxfId="615" priority="1690" stopIfTrue="1" operator="containsText" text="N/A">
      <formula>NOT(ISERROR(SEARCH("N/A",Q523)))</formula>
    </cfRule>
  </conditionalFormatting>
  <conditionalFormatting sqref="Q520:T520">
    <cfRule type="containsErrors" dxfId="614" priority="1691" stopIfTrue="1">
      <formula>ISERROR(Q520)</formula>
    </cfRule>
    <cfRule type="cellIs" dxfId="613" priority="1692" stopIfTrue="1" operator="equal">
      <formula>FALSE</formula>
    </cfRule>
    <cfRule type="expression" dxfId="612" priority="1693" stopIfTrue="1">
      <formula>OR(Q521=0,Q522=0)</formula>
    </cfRule>
    <cfRule type="cellIs" dxfId="611" priority="1694" stopIfTrue="1" operator="equal">
      <formula>TRUE</formula>
    </cfRule>
    <cfRule type="containsText" dxfId="610" priority="1695" stopIfTrue="1" operator="containsText" text="N/A">
      <formula>NOT(ISERROR(SEARCH("N/A",Q520)))</formula>
    </cfRule>
  </conditionalFormatting>
  <conditionalFormatting sqref="Q496:T496">
    <cfRule type="containsErrors" dxfId="609" priority="1681" stopIfTrue="1">
      <formula>ISERROR(Q496)</formula>
    </cfRule>
    <cfRule type="cellIs" dxfId="608" priority="1682" stopIfTrue="1" operator="equal">
      <formula>FALSE</formula>
    </cfRule>
    <cfRule type="expression" dxfId="607" priority="1683" stopIfTrue="1">
      <formula>OR(Q497=0,Q498=0)</formula>
    </cfRule>
    <cfRule type="cellIs" dxfId="606" priority="1684" stopIfTrue="1" operator="equal">
      <formula>TRUE</formula>
    </cfRule>
    <cfRule type="containsText" dxfId="605" priority="1685" stopIfTrue="1" operator="containsText" text="N/A">
      <formula>NOT(ISERROR(SEARCH("N/A",Q496)))</formula>
    </cfRule>
  </conditionalFormatting>
  <conditionalFormatting sqref="Q526:T526">
    <cfRule type="containsErrors" dxfId="604" priority="1676" stopIfTrue="1">
      <formula>ISERROR(Q526)</formula>
    </cfRule>
    <cfRule type="cellIs" dxfId="603" priority="1677" stopIfTrue="1" operator="equal">
      <formula>FALSE</formula>
    </cfRule>
    <cfRule type="expression" dxfId="602" priority="1678" stopIfTrue="1">
      <formula>OR(Q527=0,Q528=0)</formula>
    </cfRule>
    <cfRule type="cellIs" dxfId="601" priority="1679" stopIfTrue="1" operator="equal">
      <formula>TRUE</formula>
    </cfRule>
    <cfRule type="containsText" dxfId="600" priority="1680" stopIfTrue="1" operator="containsText" text="N/A">
      <formula>NOT(ISERROR(SEARCH("N/A",Q526)))</formula>
    </cfRule>
  </conditionalFormatting>
  <conditionalFormatting sqref="Q594:T594">
    <cfRule type="containsErrors" dxfId="599" priority="1626" stopIfTrue="1">
      <formula>ISERROR(Q594)</formula>
    </cfRule>
    <cfRule type="cellIs" dxfId="598" priority="1627" stopIfTrue="1" operator="equal">
      <formula>FALSE</formula>
    </cfRule>
    <cfRule type="expression" dxfId="597" priority="1628" stopIfTrue="1">
      <formula>OR(Q595=0,Q596=0)</formula>
    </cfRule>
    <cfRule type="cellIs" dxfId="596" priority="1629" stopIfTrue="1" operator="equal">
      <formula>TRUE</formula>
    </cfRule>
    <cfRule type="containsText" dxfId="595" priority="1630" stopIfTrue="1" operator="containsText" text="N/A">
      <formula>NOT(ISERROR(SEARCH("N/A",Q594)))</formula>
    </cfRule>
  </conditionalFormatting>
  <conditionalFormatting sqref="Q599:T599">
    <cfRule type="containsErrors" dxfId="594" priority="1621" stopIfTrue="1">
      <formula>ISERROR(Q599)</formula>
    </cfRule>
    <cfRule type="cellIs" dxfId="593" priority="1622" stopIfTrue="1" operator="equal">
      <formula>FALSE</formula>
    </cfRule>
    <cfRule type="expression" dxfId="592" priority="1623" stopIfTrue="1">
      <formula>OR(Q600=0,Q601=0)</formula>
    </cfRule>
    <cfRule type="cellIs" dxfId="591" priority="1624" stopIfTrue="1" operator="equal">
      <formula>TRUE</formula>
    </cfRule>
    <cfRule type="containsText" dxfId="590" priority="1625" stopIfTrue="1" operator="containsText" text="N/A">
      <formula>NOT(ISERROR(SEARCH("N/A",Q599)))</formula>
    </cfRule>
  </conditionalFormatting>
  <conditionalFormatting sqref="Q576:T576">
    <cfRule type="containsErrors" dxfId="589" priority="1591" stopIfTrue="1">
      <formula>ISERROR(Q576)</formula>
    </cfRule>
    <cfRule type="cellIs" dxfId="588" priority="1592" stopIfTrue="1" operator="equal">
      <formula>FALSE</formula>
    </cfRule>
    <cfRule type="expression" dxfId="587" priority="1593" stopIfTrue="1">
      <formula>OR(Q577=0,Q578=0)</formula>
    </cfRule>
    <cfRule type="cellIs" dxfId="586" priority="1594" stopIfTrue="1" operator="equal">
      <formula>TRUE</formula>
    </cfRule>
    <cfRule type="containsText" dxfId="585" priority="1595" stopIfTrue="1" operator="containsText" text="N/A">
      <formula>NOT(ISERROR(SEARCH("N/A",Q576)))</formula>
    </cfRule>
  </conditionalFormatting>
  <conditionalFormatting sqref="Q544:T544">
    <cfRule type="containsErrors" dxfId="584" priority="1666" stopIfTrue="1">
      <formula>ISERROR(Q544)</formula>
    </cfRule>
    <cfRule type="cellIs" dxfId="583" priority="1667" stopIfTrue="1" operator="equal">
      <formula>FALSE</formula>
    </cfRule>
    <cfRule type="expression" dxfId="582" priority="1668" stopIfTrue="1">
      <formula>OR(Q545=0,Q546=0)</formula>
    </cfRule>
    <cfRule type="cellIs" dxfId="581" priority="1669" stopIfTrue="1" operator="equal">
      <formula>TRUE</formula>
    </cfRule>
    <cfRule type="containsText" dxfId="580" priority="1670" stopIfTrue="1" operator="containsText" text="N/A">
      <formula>NOT(ISERROR(SEARCH("N/A",Q544)))</formula>
    </cfRule>
  </conditionalFormatting>
  <conditionalFormatting sqref="Q549:T549">
    <cfRule type="containsErrors" dxfId="579" priority="1656" stopIfTrue="1">
      <formula>ISERROR(Q549)</formula>
    </cfRule>
    <cfRule type="cellIs" dxfId="578" priority="1657" stopIfTrue="1" operator="equal">
      <formula>FALSE</formula>
    </cfRule>
    <cfRule type="expression" dxfId="577" priority="1658" stopIfTrue="1">
      <formula>OR(Q550=0,Q551=0)</formula>
    </cfRule>
    <cfRule type="cellIs" dxfId="576" priority="1659" stopIfTrue="1" operator="equal">
      <formula>TRUE</formula>
    </cfRule>
    <cfRule type="containsText" dxfId="575" priority="1660" stopIfTrue="1" operator="containsText" text="N/A">
      <formula>NOT(ISERROR(SEARCH("N/A",Q549)))</formula>
    </cfRule>
  </conditionalFormatting>
  <conditionalFormatting sqref="Q588:T588">
    <cfRule type="containsErrors" dxfId="574" priority="1651" stopIfTrue="1">
      <formula>ISERROR(Q588)</formula>
    </cfRule>
    <cfRule type="cellIs" dxfId="573" priority="1652" stopIfTrue="1" operator="equal">
      <formula>FALSE</formula>
    </cfRule>
    <cfRule type="expression" dxfId="572" priority="1653" stopIfTrue="1">
      <formula>OR(Q589=0,Q590=0)</formula>
    </cfRule>
    <cfRule type="cellIs" dxfId="571" priority="1654" stopIfTrue="1" operator="equal">
      <formula>TRUE</formula>
    </cfRule>
    <cfRule type="containsText" dxfId="570" priority="1655" stopIfTrue="1" operator="containsText" text="N/A">
      <formula>NOT(ISERROR(SEARCH("N/A",Q588)))</formula>
    </cfRule>
  </conditionalFormatting>
  <conditionalFormatting sqref="Q558:T558">
    <cfRule type="containsErrors" dxfId="569" priority="1636" stopIfTrue="1">
      <formula>ISERROR(Q558)</formula>
    </cfRule>
    <cfRule type="cellIs" dxfId="568" priority="1637" stopIfTrue="1" operator="equal">
      <formula>FALSE</formula>
    </cfRule>
    <cfRule type="expression" dxfId="567" priority="1638" stopIfTrue="1">
      <formula>OR(Q559=0,Q560=0)</formula>
    </cfRule>
    <cfRule type="cellIs" dxfId="566" priority="1639" stopIfTrue="1" operator="equal">
      <formula>TRUE</formula>
    </cfRule>
    <cfRule type="containsText" dxfId="565" priority="1640" stopIfTrue="1" operator="containsText" text="N/A">
      <formula>NOT(ISERROR(SEARCH("N/A",Q558)))</formula>
    </cfRule>
  </conditionalFormatting>
  <conditionalFormatting sqref="Q561:T561">
    <cfRule type="containsErrors" dxfId="564" priority="1616" stopIfTrue="1">
      <formula>ISERROR(Q561)</formula>
    </cfRule>
    <cfRule type="cellIs" dxfId="563" priority="1617" stopIfTrue="1" operator="equal">
      <formula>FALSE</formula>
    </cfRule>
    <cfRule type="expression" dxfId="562" priority="1618" stopIfTrue="1">
      <formula>OR(Q562=0,Q563=0)</formula>
    </cfRule>
    <cfRule type="cellIs" dxfId="561" priority="1619" stopIfTrue="1" operator="equal">
      <formula>TRUE</formula>
    </cfRule>
    <cfRule type="containsText" dxfId="560" priority="1620" stopIfTrue="1" operator="containsText" text="N/A">
      <formula>NOT(ISERROR(SEARCH("N/A",Q561)))</formula>
    </cfRule>
  </conditionalFormatting>
  <conditionalFormatting sqref="Q564:T564">
    <cfRule type="containsErrors" dxfId="559" priority="1611" stopIfTrue="1">
      <formula>ISERROR(Q564)</formula>
    </cfRule>
    <cfRule type="cellIs" dxfId="558" priority="1612" stopIfTrue="1" operator="equal">
      <formula>FALSE</formula>
    </cfRule>
    <cfRule type="expression" dxfId="557" priority="1613" stopIfTrue="1">
      <formula>OR(Q565=0,Q566=0)</formula>
    </cfRule>
    <cfRule type="cellIs" dxfId="556" priority="1614" stopIfTrue="1" operator="equal">
      <formula>TRUE</formula>
    </cfRule>
    <cfRule type="containsText" dxfId="555" priority="1615" stopIfTrue="1" operator="containsText" text="N/A">
      <formula>NOT(ISERROR(SEARCH("N/A",Q564)))</formula>
    </cfRule>
  </conditionalFormatting>
  <conditionalFormatting sqref="Q567:T567">
    <cfRule type="containsErrors" dxfId="554" priority="1606" stopIfTrue="1">
      <formula>ISERROR(Q567)</formula>
    </cfRule>
    <cfRule type="cellIs" dxfId="553" priority="1607" stopIfTrue="1" operator="equal">
      <formula>FALSE</formula>
    </cfRule>
    <cfRule type="expression" dxfId="552" priority="1608" stopIfTrue="1">
      <formula>OR(Q568=0,Q569=0)</formula>
    </cfRule>
    <cfRule type="cellIs" dxfId="551" priority="1609" stopIfTrue="1" operator="equal">
      <formula>TRUE</formula>
    </cfRule>
    <cfRule type="containsText" dxfId="550" priority="1610" stopIfTrue="1" operator="containsText" text="N/A">
      <formula>NOT(ISERROR(SEARCH("N/A",Q567)))</formula>
    </cfRule>
  </conditionalFormatting>
  <conditionalFormatting sqref="Q582:T582">
    <cfRule type="containsErrors" dxfId="549" priority="1581" stopIfTrue="1">
      <formula>ISERROR(Q582)</formula>
    </cfRule>
    <cfRule type="cellIs" dxfId="548" priority="1582" stopIfTrue="1" operator="equal">
      <formula>FALSE</formula>
    </cfRule>
    <cfRule type="expression" dxfId="547" priority="1583" stopIfTrue="1">
      <formula>OR(Q583=0,Q584=0)</formula>
    </cfRule>
    <cfRule type="cellIs" dxfId="546" priority="1584" stopIfTrue="1" operator="equal">
      <formula>TRUE</formula>
    </cfRule>
    <cfRule type="containsText" dxfId="545" priority="1585" stopIfTrue="1" operator="containsText" text="N/A">
      <formula>NOT(ISERROR(SEARCH("N/A",Q582)))</formula>
    </cfRule>
  </conditionalFormatting>
  <conditionalFormatting sqref="Q579:T579">
    <cfRule type="containsErrors" dxfId="544" priority="1586" stopIfTrue="1">
      <formula>ISERROR(Q579)</formula>
    </cfRule>
    <cfRule type="cellIs" dxfId="543" priority="1587" stopIfTrue="1" operator="equal">
      <formula>FALSE</formula>
    </cfRule>
    <cfRule type="expression" dxfId="542" priority="1588" stopIfTrue="1">
      <formula>OR(Q580=0,Q581=0)</formula>
    </cfRule>
    <cfRule type="cellIs" dxfId="541" priority="1589" stopIfTrue="1" operator="equal">
      <formula>TRUE</formula>
    </cfRule>
    <cfRule type="containsText" dxfId="540" priority="1590" stopIfTrue="1" operator="containsText" text="N/A">
      <formula>NOT(ISERROR(SEARCH("N/A",Q579)))</formula>
    </cfRule>
  </conditionalFormatting>
  <conditionalFormatting sqref="Q555:T555">
    <cfRule type="containsErrors" dxfId="539" priority="1576" stopIfTrue="1">
      <formula>ISERROR(Q555)</formula>
    </cfRule>
    <cfRule type="cellIs" dxfId="538" priority="1577" stopIfTrue="1" operator="equal">
      <formula>FALSE</formula>
    </cfRule>
    <cfRule type="expression" dxfId="537" priority="1578" stopIfTrue="1">
      <formula>OR(Q556=0,Q557=0)</formula>
    </cfRule>
    <cfRule type="cellIs" dxfId="536" priority="1579" stopIfTrue="1" operator="equal">
      <formula>TRUE</formula>
    </cfRule>
    <cfRule type="containsText" dxfId="535" priority="1580" stopIfTrue="1" operator="containsText" text="N/A">
      <formula>NOT(ISERROR(SEARCH("N/A",Q555)))</formula>
    </cfRule>
  </conditionalFormatting>
  <conditionalFormatting sqref="Q585:T585">
    <cfRule type="containsErrors" dxfId="534" priority="1571" stopIfTrue="1">
      <formula>ISERROR(Q585)</formula>
    </cfRule>
    <cfRule type="cellIs" dxfId="533" priority="1572" stopIfTrue="1" operator="equal">
      <formula>FALSE</formula>
    </cfRule>
    <cfRule type="expression" dxfId="532" priority="1573" stopIfTrue="1">
      <formula>OR(Q586=0,Q587=0)</formula>
    </cfRule>
    <cfRule type="cellIs" dxfId="531" priority="1574" stopIfTrue="1" operator="equal">
      <formula>TRUE</formula>
    </cfRule>
    <cfRule type="containsText" dxfId="530" priority="1575" stopIfTrue="1" operator="containsText" text="N/A">
      <formula>NOT(ISERROR(SEARCH("N/A",Q585)))</formula>
    </cfRule>
  </conditionalFormatting>
  <conditionalFormatting sqref="R638:T638">
    <cfRule type="containsErrors" dxfId="529" priority="1561" stopIfTrue="1">
      <formula>ISERROR(R638)</formula>
    </cfRule>
    <cfRule type="cellIs" dxfId="528" priority="1562" stopIfTrue="1" operator="equal">
      <formula>FALSE</formula>
    </cfRule>
    <cfRule type="expression" dxfId="527" priority="1563" stopIfTrue="1">
      <formula>OR(R639=0,R640=0)</formula>
    </cfRule>
    <cfRule type="cellIs" dxfId="526" priority="1564" stopIfTrue="1" operator="equal">
      <formula>TRUE</formula>
    </cfRule>
    <cfRule type="containsText" dxfId="525" priority="1565" stopIfTrue="1" operator="containsText" text="N/A">
      <formula>NOT(ISERROR(SEARCH("N/A",R638)))</formula>
    </cfRule>
  </conditionalFormatting>
  <conditionalFormatting sqref="R638:T638">
    <cfRule type="containsErrors" dxfId="524" priority="1566" stopIfTrue="1">
      <formula>ISERROR(R638)</formula>
    </cfRule>
    <cfRule type="cellIs" dxfId="523" priority="1567" stopIfTrue="1" operator="equal">
      <formula>FALSE</formula>
    </cfRule>
    <cfRule type="expression" dxfId="522" priority="1568" stopIfTrue="1">
      <formula>OR(R639=0,#REF!=0)</formula>
    </cfRule>
    <cfRule type="cellIs" dxfId="521" priority="1569" stopIfTrue="1" operator="equal">
      <formula>TRUE</formula>
    </cfRule>
    <cfRule type="containsText" dxfId="520" priority="1570" stopIfTrue="1" operator="containsText" text="N/A">
      <formula>NOT(ISERROR(SEARCH("N/A",R638)))</formula>
    </cfRule>
  </conditionalFormatting>
  <conditionalFormatting sqref="R641:T641">
    <cfRule type="containsErrors" dxfId="519" priority="1556" stopIfTrue="1">
      <formula>ISERROR(R641)</formula>
    </cfRule>
    <cfRule type="cellIs" dxfId="518" priority="1557" stopIfTrue="1" operator="equal">
      <formula>FALSE</formula>
    </cfRule>
    <cfRule type="expression" dxfId="517" priority="1558" stopIfTrue="1">
      <formula>OR(R642=0,R643=0)</formula>
    </cfRule>
    <cfRule type="cellIs" dxfId="516" priority="1559" stopIfTrue="1" operator="equal">
      <formula>TRUE</formula>
    </cfRule>
    <cfRule type="containsText" dxfId="515" priority="1560" stopIfTrue="1" operator="containsText" text="N/A">
      <formula>NOT(ISERROR(SEARCH("N/A",R641)))</formula>
    </cfRule>
  </conditionalFormatting>
  <conditionalFormatting sqref="R644:T644">
    <cfRule type="containsErrors" dxfId="514" priority="1551" stopIfTrue="1">
      <formula>ISERROR(R644)</formula>
    </cfRule>
    <cfRule type="cellIs" dxfId="513" priority="1552" stopIfTrue="1" operator="equal">
      <formula>FALSE</formula>
    </cfRule>
    <cfRule type="expression" dxfId="512" priority="1553" stopIfTrue="1">
      <formula>OR(R645=0,R646=0)</formula>
    </cfRule>
    <cfRule type="cellIs" dxfId="511" priority="1554" stopIfTrue="1" operator="equal">
      <formula>TRUE</formula>
    </cfRule>
    <cfRule type="containsText" dxfId="510" priority="1555" stopIfTrue="1" operator="containsText" text="N/A">
      <formula>NOT(ISERROR(SEARCH("N/A",R644)))</formula>
    </cfRule>
  </conditionalFormatting>
  <conditionalFormatting sqref="R647:T647">
    <cfRule type="containsErrors" dxfId="509" priority="1546" stopIfTrue="1">
      <formula>ISERROR(R647)</formula>
    </cfRule>
    <cfRule type="cellIs" dxfId="508" priority="1547" stopIfTrue="1" operator="equal">
      <formula>FALSE</formula>
    </cfRule>
    <cfRule type="expression" dxfId="507" priority="1548" stopIfTrue="1">
      <formula>OR(R648=0,R649=0)</formula>
    </cfRule>
    <cfRule type="cellIs" dxfId="506" priority="1549" stopIfTrue="1" operator="equal">
      <formula>TRUE</formula>
    </cfRule>
    <cfRule type="containsText" dxfId="505" priority="1550" stopIfTrue="1" operator="containsText" text="N/A">
      <formula>NOT(ISERROR(SEARCH("N/A",R647)))</formula>
    </cfRule>
  </conditionalFormatting>
  <conditionalFormatting sqref="R653:T653">
    <cfRule type="containsErrors" dxfId="504" priority="1536" stopIfTrue="1">
      <formula>ISERROR(R653)</formula>
    </cfRule>
    <cfRule type="cellIs" dxfId="503" priority="1537" stopIfTrue="1" operator="equal">
      <formula>FALSE</formula>
    </cfRule>
    <cfRule type="expression" dxfId="502" priority="1538" stopIfTrue="1">
      <formula>OR(R654=0,R655=0)</formula>
    </cfRule>
    <cfRule type="cellIs" dxfId="501" priority="1539" stopIfTrue="1" operator="equal">
      <formula>TRUE</formula>
    </cfRule>
    <cfRule type="containsText" dxfId="500" priority="1540" stopIfTrue="1" operator="containsText" text="N/A">
      <formula>NOT(ISERROR(SEARCH("N/A",R653)))</formula>
    </cfRule>
  </conditionalFormatting>
  <conditionalFormatting sqref="R656:T656">
    <cfRule type="containsErrors" dxfId="499" priority="1531" stopIfTrue="1">
      <formula>ISERROR(R656)</formula>
    </cfRule>
    <cfRule type="cellIs" dxfId="498" priority="1532" stopIfTrue="1" operator="equal">
      <formula>FALSE</formula>
    </cfRule>
    <cfRule type="expression" dxfId="497" priority="1533" stopIfTrue="1">
      <formula>OR(R657=0,R658=0)</formula>
    </cfRule>
    <cfRule type="cellIs" dxfId="496" priority="1534" stopIfTrue="1" operator="equal">
      <formula>TRUE</formula>
    </cfRule>
    <cfRule type="containsText" dxfId="495" priority="1535" stopIfTrue="1" operator="containsText" text="N/A">
      <formula>NOT(ISERROR(SEARCH("N/A",R656)))</formula>
    </cfRule>
  </conditionalFormatting>
  <conditionalFormatting sqref="R659:T659">
    <cfRule type="containsErrors" dxfId="494" priority="1526" stopIfTrue="1">
      <formula>ISERROR(R659)</formula>
    </cfRule>
    <cfRule type="cellIs" dxfId="493" priority="1527" stopIfTrue="1" operator="equal">
      <formula>FALSE</formula>
    </cfRule>
    <cfRule type="expression" dxfId="492" priority="1528" stopIfTrue="1">
      <formula>OR(R660=0,R661=0)</formula>
    </cfRule>
    <cfRule type="cellIs" dxfId="491" priority="1529" stopIfTrue="1" operator="equal">
      <formula>TRUE</formula>
    </cfRule>
    <cfRule type="containsText" dxfId="490" priority="1530" stopIfTrue="1" operator="containsText" text="N/A">
      <formula>NOT(ISERROR(SEARCH("N/A",R659)))</formula>
    </cfRule>
  </conditionalFormatting>
  <conditionalFormatting sqref="R662:T662">
    <cfRule type="containsErrors" dxfId="489" priority="1521" stopIfTrue="1">
      <formula>ISERROR(R662)</formula>
    </cfRule>
    <cfRule type="cellIs" dxfId="488" priority="1522" stopIfTrue="1" operator="equal">
      <formula>FALSE</formula>
    </cfRule>
    <cfRule type="expression" dxfId="487" priority="1523" stopIfTrue="1">
      <formula>OR(R663=0,R664=0)</formula>
    </cfRule>
    <cfRule type="cellIs" dxfId="486" priority="1524" stopIfTrue="1" operator="equal">
      <formula>TRUE</formula>
    </cfRule>
    <cfRule type="containsText" dxfId="485" priority="1525" stopIfTrue="1" operator="containsText" text="N/A">
      <formula>NOT(ISERROR(SEARCH("N/A",R662)))</formula>
    </cfRule>
  </conditionalFormatting>
  <conditionalFormatting sqref="R687:T687">
    <cfRule type="containsErrors" dxfId="484" priority="1426" stopIfTrue="1">
      <formula>ISERROR(R687)</formula>
    </cfRule>
    <cfRule type="cellIs" dxfId="483" priority="1427" stopIfTrue="1" operator="equal">
      <formula>FALSE</formula>
    </cfRule>
    <cfRule type="expression" dxfId="482" priority="1428" stopIfTrue="1">
      <formula>OR(R688=0,R689=0)</formula>
    </cfRule>
    <cfRule type="cellIs" dxfId="481" priority="1429" stopIfTrue="1" operator="equal">
      <formula>TRUE</formula>
    </cfRule>
    <cfRule type="containsText" dxfId="480" priority="1430" stopIfTrue="1" operator="containsText" text="N/A">
      <formula>NOT(ISERROR(SEARCH("N/A",R687)))</formula>
    </cfRule>
  </conditionalFormatting>
  <conditionalFormatting sqref="R684:T684">
    <cfRule type="containsErrors" dxfId="479" priority="1431" stopIfTrue="1">
      <formula>ISERROR(R684)</formula>
    </cfRule>
    <cfRule type="cellIs" dxfId="478" priority="1432" stopIfTrue="1" operator="equal">
      <formula>FALSE</formula>
    </cfRule>
    <cfRule type="expression" dxfId="477" priority="1433" stopIfTrue="1">
      <formula>OR(R685=0,R686=0)</formula>
    </cfRule>
    <cfRule type="cellIs" dxfId="476" priority="1434" stopIfTrue="1" operator="equal">
      <formula>TRUE</formula>
    </cfRule>
    <cfRule type="containsText" dxfId="475" priority="1435" stopIfTrue="1" operator="containsText" text="N/A">
      <formula>NOT(ISERROR(SEARCH("N/A",R684)))</formula>
    </cfRule>
  </conditionalFormatting>
  <conditionalFormatting sqref="R669:T669">
    <cfRule type="containsErrors" dxfId="474" priority="1456" stopIfTrue="1">
      <formula>ISERROR(R669)</formula>
    </cfRule>
    <cfRule type="cellIs" dxfId="473" priority="1457" stopIfTrue="1" operator="equal">
      <formula>FALSE</formula>
    </cfRule>
    <cfRule type="expression" dxfId="472" priority="1458" stopIfTrue="1">
      <formula>OR(R670=0,R671=0)</formula>
    </cfRule>
    <cfRule type="cellIs" dxfId="471" priority="1459" stopIfTrue="1" operator="equal">
      <formula>TRUE</formula>
    </cfRule>
    <cfRule type="containsText" dxfId="470" priority="1460" stopIfTrue="1" operator="containsText" text="N/A">
      <formula>NOT(ISERROR(SEARCH("N/A",R669)))</formula>
    </cfRule>
  </conditionalFormatting>
  <conditionalFormatting sqref="R672:T672">
    <cfRule type="containsErrors" dxfId="469" priority="1451" stopIfTrue="1">
      <formula>ISERROR(R672)</formula>
    </cfRule>
    <cfRule type="cellIs" dxfId="468" priority="1452" stopIfTrue="1" operator="equal">
      <formula>FALSE</formula>
    </cfRule>
    <cfRule type="expression" dxfId="467" priority="1453" stopIfTrue="1">
      <formula>OR(R673=0,R674=0)</formula>
    </cfRule>
    <cfRule type="cellIs" dxfId="466" priority="1454" stopIfTrue="1" operator="equal">
      <formula>TRUE</formula>
    </cfRule>
    <cfRule type="containsText" dxfId="465" priority="1455" stopIfTrue="1" operator="containsText" text="N/A">
      <formula>NOT(ISERROR(SEARCH("N/A",R672)))</formula>
    </cfRule>
  </conditionalFormatting>
  <conditionalFormatting sqref="R690:T690">
    <cfRule type="containsErrors" dxfId="464" priority="1421" stopIfTrue="1">
      <formula>ISERROR(R690)</formula>
    </cfRule>
    <cfRule type="cellIs" dxfId="463" priority="1422" stopIfTrue="1" operator="equal">
      <formula>FALSE</formula>
    </cfRule>
    <cfRule type="expression" dxfId="462" priority="1423" stopIfTrue="1">
      <formula>OR(R691=0,R692=0)</formula>
    </cfRule>
    <cfRule type="cellIs" dxfId="461" priority="1424" stopIfTrue="1" operator="equal">
      <formula>TRUE</formula>
    </cfRule>
    <cfRule type="containsText" dxfId="460" priority="1425" stopIfTrue="1" operator="containsText" text="N/A">
      <formula>NOT(ISERROR(SEARCH("N/A",R690)))</formula>
    </cfRule>
  </conditionalFormatting>
  <conditionalFormatting sqref="R669:T669">
    <cfRule type="containsErrors" dxfId="459" priority="1461" stopIfTrue="1">
      <formula>ISERROR(R669)</formula>
    </cfRule>
    <cfRule type="cellIs" dxfId="458" priority="1462" stopIfTrue="1" operator="equal">
      <formula>FALSE</formula>
    </cfRule>
    <cfRule type="expression" dxfId="457" priority="1463" stopIfTrue="1">
      <formula>OR(R670=0,#REF!=0)</formula>
    </cfRule>
    <cfRule type="cellIs" dxfId="456" priority="1464" stopIfTrue="1" operator="equal">
      <formula>TRUE</formula>
    </cfRule>
    <cfRule type="containsText" dxfId="455" priority="1465" stopIfTrue="1" operator="containsText" text="N/A">
      <formula>NOT(ISERROR(SEARCH("N/A",R669)))</formula>
    </cfRule>
  </conditionalFormatting>
  <conditionalFormatting sqref="R675:T675">
    <cfRule type="containsErrors" dxfId="454" priority="1446" stopIfTrue="1">
      <formula>ISERROR(R675)</formula>
    </cfRule>
    <cfRule type="cellIs" dxfId="453" priority="1447" stopIfTrue="1" operator="equal">
      <formula>FALSE</formula>
    </cfRule>
    <cfRule type="expression" dxfId="452" priority="1448" stopIfTrue="1">
      <formula>OR(R676=0,R677=0)</formula>
    </cfRule>
    <cfRule type="cellIs" dxfId="451" priority="1449" stopIfTrue="1" operator="equal">
      <formula>TRUE</formula>
    </cfRule>
    <cfRule type="containsText" dxfId="450" priority="1450" stopIfTrue="1" operator="containsText" text="N/A">
      <formula>NOT(ISERROR(SEARCH("N/A",R675)))</formula>
    </cfRule>
  </conditionalFormatting>
  <conditionalFormatting sqref="R678:T678">
    <cfRule type="containsErrors" dxfId="449" priority="1441" stopIfTrue="1">
      <formula>ISERROR(R678)</formula>
    </cfRule>
    <cfRule type="cellIs" dxfId="448" priority="1442" stopIfTrue="1" operator="equal">
      <formula>FALSE</formula>
    </cfRule>
    <cfRule type="expression" dxfId="447" priority="1443" stopIfTrue="1">
      <formula>OR(R679=0,R680=0)</formula>
    </cfRule>
    <cfRule type="cellIs" dxfId="446" priority="1444" stopIfTrue="1" operator="equal">
      <formula>TRUE</formula>
    </cfRule>
    <cfRule type="containsText" dxfId="445" priority="1445" stopIfTrue="1" operator="containsText" text="N/A">
      <formula>NOT(ISERROR(SEARCH("N/A",R678)))</formula>
    </cfRule>
  </conditionalFormatting>
  <conditionalFormatting sqref="R665:T665">
    <cfRule type="containsErrors" dxfId="444" priority="1336" stopIfTrue="1">
      <formula>ISERROR(R665)</formula>
    </cfRule>
    <cfRule type="cellIs" dxfId="443" priority="1337" stopIfTrue="1" operator="equal">
      <formula>FALSE</formula>
    </cfRule>
    <cfRule type="expression" dxfId="442" priority="1338" stopIfTrue="1">
      <formula>OR(R666=0,R667=0)</formula>
    </cfRule>
    <cfRule type="cellIs" dxfId="441" priority="1339" stopIfTrue="1" operator="equal">
      <formula>TRUE</formula>
    </cfRule>
    <cfRule type="containsText" dxfId="440" priority="1340" stopIfTrue="1" operator="containsText" text="N/A">
      <formula>NOT(ISERROR(SEARCH("N/A",R665)))</formula>
    </cfRule>
  </conditionalFormatting>
  <conditionalFormatting sqref="R693:T693">
    <cfRule type="containsErrors" dxfId="439" priority="1416" stopIfTrue="1">
      <formula>ISERROR(R693)</formula>
    </cfRule>
    <cfRule type="cellIs" dxfId="438" priority="1417" stopIfTrue="1" operator="equal">
      <formula>FALSE</formula>
    </cfRule>
    <cfRule type="expression" dxfId="437" priority="1418" stopIfTrue="1">
      <formula>OR(R694=0,R695=0)</formula>
    </cfRule>
    <cfRule type="cellIs" dxfId="436" priority="1419" stopIfTrue="1" operator="equal">
      <formula>TRUE</formula>
    </cfRule>
    <cfRule type="containsText" dxfId="435" priority="1420" stopIfTrue="1" operator="containsText" text="N/A">
      <formula>NOT(ISERROR(SEARCH("N/A",R693)))</formula>
    </cfRule>
  </conditionalFormatting>
  <conditionalFormatting sqref="R718:T718">
    <cfRule type="containsErrors" dxfId="434" priority="1371" stopIfTrue="1">
      <formula>ISERROR(R718)</formula>
    </cfRule>
    <cfRule type="cellIs" dxfId="433" priority="1372" stopIfTrue="1" operator="equal">
      <formula>FALSE</formula>
    </cfRule>
    <cfRule type="expression" dxfId="432" priority="1373" stopIfTrue="1">
      <formula>OR(R719=0,R720=0)</formula>
    </cfRule>
    <cfRule type="cellIs" dxfId="431" priority="1374" stopIfTrue="1" operator="equal">
      <formula>TRUE</formula>
    </cfRule>
    <cfRule type="containsText" dxfId="430" priority="1375" stopIfTrue="1" operator="containsText" text="N/A">
      <formula>NOT(ISERROR(SEARCH("N/A",R718)))</formula>
    </cfRule>
  </conditionalFormatting>
  <conditionalFormatting sqref="R715:T715">
    <cfRule type="containsErrors" dxfId="429" priority="1376" stopIfTrue="1">
      <formula>ISERROR(R715)</formula>
    </cfRule>
    <cfRule type="cellIs" dxfId="428" priority="1377" stopIfTrue="1" operator="equal">
      <formula>FALSE</formula>
    </cfRule>
    <cfRule type="expression" dxfId="427" priority="1378" stopIfTrue="1">
      <formula>OR(R716=0,R717=0)</formula>
    </cfRule>
    <cfRule type="cellIs" dxfId="426" priority="1379" stopIfTrue="1" operator="equal">
      <formula>TRUE</formula>
    </cfRule>
    <cfRule type="containsText" dxfId="425" priority="1380" stopIfTrue="1" operator="containsText" text="N/A">
      <formula>NOT(ISERROR(SEARCH("N/A",R715)))</formula>
    </cfRule>
  </conditionalFormatting>
  <conditionalFormatting sqref="R700:T700">
    <cfRule type="containsErrors" dxfId="424" priority="1401" stopIfTrue="1">
      <formula>ISERROR(R700)</formula>
    </cfRule>
    <cfRule type="cellIs" dxfId="423" priority="1402" stopIfTrue="1" operator="equal">
      <formula>FALSE</formula>
    </cfRule>
    <cfRule type="expression" dxfId="422" priority="1403" stopIfTrue="1">
      <formula>OR(R701=0,R702=0)</formula>
    </cfRule>
    <cfRule type="cellIs" dxfId="421" priority="1404" stopIfTrue="1" operator="equal">
      <formula>TRUE</formula>
    </cfRule>
    <cfRule type="containsText" dxfId="420" priority="1405" stopIfTrue="1" operator="containsText" text="N/A">
      <formula>NOT(ISERROR(SEARCH("N/A",R700)))</formula>
    </cfRule>
  </conditionalFormatting>
  <conditionalFormatting sqref="R703:T703">
    <cfRule type="containsErrors" dxfId="419" priority="1396" stopIfTrue="1">
      <formula>ISERROR(R703)</formula>
    </cfRule>
    <cfRule type="cellIs" dxfId="418" priority="1397" stopIfTrue="1" operator="equal">
      <formula>FALSE</formula>
    </cfRule>
    <cfRule type="expression" dxfId="417" priority="1398" stopIfTrue="1">
      <formula>OR(R704=0,R705=0)</formula>
    </cfRule>
    <cfRule type="cellIs" dxfId="416" priority="1399" stopIfTrue="1" operator="equal">
      <formula>TRUE</formula>
    </cfRule>
    <cfRule type="containsText" dxfId="415" priority="1400" stopIfTrue="1" operator="containsText" text="N/A">
      <formula>NOT(ISERROR(SEARCH("N/A",R703)))</formula>
    </cfRule>
  </conditionalFormatting>
  <conditionalFormatting sqref="R721:T721">
    <cfRule type="containsErrors" dxfId="414" priority="1366" stopIfTrue="1">
      <formula>ISERROR(R721)</formula>
    </cfRule>
    <cfRule type="cellIs" dxfId="413" priority="1367" stopIfTrue="1" operator="equal">
      <formula>FALSE</formula>
    </cfRule>
    <cfRule type="expression" dxfId="412" priority="1368" stopIfTrue="1">
      <formula>OR(R722=0,R723=0)</formula>
    </cfRule>
    <cfRule type="cellIs" dxfId="411" priority="1369" stopIfTrue="1" operator="equal">
      <formula>TRUE</formula>
    </cfRule>
    <cfRule type="containsText" dxfId="410" priority="1370" stopIfTrue="1" operator="containsText" text="N/A">
      <formula>NOT(ISERROR(SEARCH("N/A",R721)))</formula>
    </cfRule>
  </conditionalFormatting>
  <conditionalFormatting sqref="R700:T700">
    <cfRule type="containsErrors" dxfId="409" priority="1406" stopIfTrue="1">
      <formula>ISERROR(R700)</formula>
    </cfRule>
    <cfRule type="cellIs" dxfId="408" priority="1407" stopIfTrue="1" operator="equal">
      <formula>FALSE</formula>
    </cfRule>
    <cfRule type="expression" dxfId="407" priority="1408" stopIfTrue="1">
      <formula>OR(R701=0,#REF!=0)</formula>
    </cfRule>
    <cfRule type="cellIs" dxfId="406" priority="1409" stopIfTrue="1" operator="equal">
      <formula>TRUE</formula>
    </cfRule>
    <cfRule type="containsText" dxfId="405" priority="1410" stopIfTrue="1" operator="containsText" text="N/A">
      <formula>NOT(ISERROR(SEARCH("N/A",R700)))</formula>
    </cfRule>
  </conditionalFormatting>
  <conditionalFormatting sqref="R706:T706">
    <cfRule type="containsErrors" dxfId="404" priority="1391" stopIfTrue="1">
      <formula>ISERROR(R706)</formula>
    </cfRule>
    <cfRule type="cellIs" dxfId="403" priority="1392" stopIfTrue="1" operator="equal">
      <formula>FALSE</formula>
    </cfRule>
    <cfRule type="expression" dxfId="402" priority="1393" stopIfTrue="1">
      <formula>OR(R707=0,R708=0)</formula>
    </cfRule>
    <cfRule type="cellIs" dxfId="401" priority="1394" stopIfTrue="1" operator="equal">
      <formula>TRUE</formula>
    </cfRule>
    <cfRule type="containsText" dxfId="400" priority="1395" stopIfTrue="1" operator="containsText" text="N/A">
      <formula>NOT(ISERROR(SEARCH("N/A",R706)))</formula>
    </cfRule>
  </conditionalFormatting>
  <conditionalFormatting sqref="R709:T709">
    <cfRule type="containsErrors" dxfId="399" priority="1386" stopIfTrue="1">
      <formula>ISERROR(R709)</formula>
    </cfRule>
    <cfRule type="cellIs" dxfId="398" priority="1387" stopIfTrue="1" operator="equal">
      <formula>FALSE</formula>
    </cfRule>
    <cfRule type="expression" dxfId="397" priority="1388" stopIfTrue="1">
      <formula>OR(R710=0,R711=0)</formula>
    </cfRule>
    <cfRule type="cellIs" dxfId="396" priority="1389" stopIfTrue="1" operator="equal">
      <formula>TRUE</formula>
    </cfRule>
    <cfRule type="containsText" dxfId="395" priority="1390" stopIfTrue="1" operator="containsText" text="N/A">
      <formula>NOT(ISERROR(SEARCH("N/A",R709)))</formula>
    </cfRule>
  </conditionalFormatting>
  <conditionalFormatting sqref="R724:T724">
    <cfRule type="containsErrors" dxfId="394" priority="1361" stopIfTrue="1">
      <formula>ISERROR(R724)</formula>
    </cfRule>
    <cfRule type="cellIs" dxfId="393" priority="1362" stopIfTrue="1" operator="equal">
      <formula>FALSE</formula>
    </cfRule>
    <cfRule type="expression" dxfId="392" priority="1363" stopIfTrue="1">
      <formula>OR(R725=0,R726=0)</formula>
    </cfRule>
    <cfRule type="cellIs" dxfId="391" priority="1364" stopIfTrue="1" operator="equal">
      <formula>TRUE</formula>
    </cfRule>
    <cfRule type="containsText" dxfId="390" priority="1365" stopIfTrue="1" operator="containsText" text="N/A">
      <formula>NOT(ISERROR(SEARCH("N/A",R724)))</formula>
    </cfRule>
  </conditionalFormatting>
  <conditionalFormatting sqref="L143 Q95 J95:O95">
    <cfRule type="containsErrors" dxfId="389" priority="1351" stopIfTrue="1">
      <formula>ISERROR(J95)</formula>
    </cfRule>
    <cfRule type="expression" dxfId="388" priority="1352" stopIfTrue="1">
      <formula>OR(J96=0,#REF!=0)</formula>
    </cfRule>
    <cfRule type="cellIs" dxfId="387" priority="1353" stopIfTrue="1" operator="equal">
      <formula>FALSE</formula>
    </cfRule>
    <cfRule type="cellIs" dxfId="386" priority="1354" stopIfTrue="1" operator="equal">
      <formula>TRUE</formula>
    </cfRule>
    <cfRule type="containsText" dxfId="385" priority="1355" stopIfTrue="1" operator="containsText" text="N/A">
      <formula>NOT(ISERROR(SEARCH("N/A",J95)))</formula>
    </cfRule>
  </conditionalFormatting>
  <conditionalFormatting sqref="J143:K143 M143:O143 Q143">
    <cfRule type="containsErrors" dxfId="384" priority="1346" stopIfTrue="1">
      <formula>ISERROR(J143)</formula>
    </cfRule>
    <cfRule type="expression" dxfId="383" priority="1347" stopIfTrue="1">
      <formula>OR(J144=0,#REF!=0)</formula>
    </cfRule>
    <cfRule type="cellIs" dxfId="382" priority="1348" stopIfTrue="1" operator="equal">
      <formula>FALSE</formula>
    </cfRule>
    <cfRule type="cellIs" dxfId="381" priority="1349" stopIfTrue="1" operator="equal">
      <formula>TRUE</formula>
    </cfRule>
    <cfRule type="containsText" dxfId="380" priority="1350" stopIfTrue="1" operator="containsText" text="N/A">
      <formula>NOT(ISERROR(SEARCH("N/A",J143)))</formula>
    </cfRule>
  </conditionalFormatting>
  <conditionalFormatting sqref="R696:T696">
    <cfRule type="containsErrors" dxfId="379" priority="1331" stopIfTrue="1">
      <formula>ISERROR(R696)</formula>
    </cfRule>
    <cfRule type="cellIs" dxfId="378" priority="1332" stopIfTrue="1" operator="equal">
      <formula>FALSE</formula>
    </cfRule>
    <cfRule type="expression" dxfId="377" priority="1333" stopIfTrue="1">
      <formula>OR(R697=0,R698=0)</formula>
    </cfRule>
    <cfRule type="cellIs" dxfId="376" priority="1334" stopIfTrue="1" operator="equal">
      <formula>TRUE</formula>
    </cfRule>
    <cfRule type="containsText" dxfId="375" priority="1335" stopIfTrue="1" operator="containsText" text="N/A">
      <formula>NOT(ISERROR(SEARCH("N/A",R696)))</formula>
    </cfRule>
  </conditionalFormatting>
  <conditionalFormatting sqref="R727:T727">
    <cfRule type="containsErrors" dxfId="374" priority="1326" stopIfTrue="1">
      <formula>ISERROR(R727)</formula>
    </cfRule>
    <cfRule type="cellIs" dxfId="373" priority="1327" stopIfTrue="1" operator="equal">
      <formula>FALSE</formula>
    </cfRule>
    <cfRule type="expression" dxfId="372" priority="1328" stopIfTrue="1">
      <formula>OR(R728=0,R729=0)</formula>
    </cfRule>
    <cfRule type="cellIs" dxfId="371" priority="1329" stopIfTrue="1" operator="equal">
      <formula>TRUE</formula>
    </cfRule>
    <cfRule type="containsText" dxfId="370" priority="1330" stopIfTrue="1" operator="containsText" text="N/A">
      <formula>NOT(ISERROR(SEARCH("N/A",R727)))</formula>
    </cfRule>
  </conditionalFormatting>
  <conditionalFormatting sqref="Q552:T552">
    <cfRule type="containsErrors" dxfId="369" priority="1251" stopIfTrue="1">
      <formula>ISERROR(Q552)</formula>
    </cfRule>
    <cfRule type="cellIs" dxfId="368" priority="1252" stopIfTrue="1" operator="equal">
      <formula>FALSE</formula>
    </cfRule>
    <cfRule type="expression" dxfId="367" priority="1253" stopIfTrue="1">
      <formula>OR(Q553=0,Q554=0)</formula>
    </cfRule>
    <cfRule type="cellIs" dxfId="366" priority="1254" stopIfTrue="1" operator="equal">
      <formula>TRUE</formula>
    </cfRule>
    <cfRule type="containsText" dxfId="365" priority="1255" stopIfTrue="1" operator="containsText" text="N/A">
      <formula>NOT(ISERROR(SEARCH("N/A",Q552)))</formula>
    </cfRule>
  </conditionalFormatting>
  <conditionalFormatting sqref="Q633:T633">
    <cfRule type="containsErrors" dxfId="364" priority="1226" stopIfTrue="1">
      <formula>ISERROR(Q633)</formula>
    </cfRule>
    <cfRule type="cellIs" dxfId="363" priority="1227" stopIfTrue="1" operator="equal">
      <formula>FALSE</formula>
    </cfRule>
    <cfRule type="expression" dxfId="362" priority="1228" stopIfTrue="1">
      <formula>OR(Q634=0)</formula>
    </cfRule>
    <cfRule type="cellIs" dxfId="361" priority="1229" stopIfTrue="1" operator="equal">
      <formula>TRUE</formula>
    </cfRule>
    <cfRule type="containsText" dxfId="360" priority="1230" stopIfTrue="1" operator="containsText" text="N/A">
      <formula>NOT(ISERROR(SEARCH("N/A",Q633)))</formula>
    </cfRule>
  </conditionalFormatting>
  <conditionalFormatting sqref="M115:O115">
    <cfRule type="containsErrors" dxfId="359" priority="1221" stopIfTrue="1">
      <formula>ISERROR(M115)</formula>
    </cfRule>
    <cfRule type="expression" dxfId="358" priority="1222" stopIfTrue="1">
      <formula>OR(M116=0,M117=0)</formula>
    </cfRule>
    <cfRule type="cellIs" dxfId="357" priority="1223" stopIfTrue="1" operator="equal">
      <formula>FALSE</formula>
    </cfRule>
    <cfRule type="cellIs" dxfId="356" priority="1224" stopIfTrue="1" operator="equal">
      <formula>TRUE</formula>
    </cfRule>
    <cfRule type="containsText" dxfId="355" priority="1225" stopIfTrue="1" operator="containsText" text="N/A">
      <formula>NOT(ISERROR(SEARCH("N/A",M115)))</formula>
    </cfRule>
  </conditionalFormatting>
  <conditionalFormatting sqref="Q115">
    <cfRule type="containsErrors" dxfId="354" priority="1216" stopIfTrue="1">
      <formula>ISERROR(Q115)</formula>
    </cfRule>
    <cfRule type="expression" dxfId="353" priority="1217" stopIfTrue="1">
      <formula>OR(Q116=0,Q117=0)</formula>
    </cfRule>
    <cfRule type="cellIs" dxfId="352" priority="1218" stopIfTrue="1" operator="equal">
      <formula>FALSE</formula>
    </cfRule>
    <cfRule type="cellIs" dxfId="351" priority="1219" stopIfTrue="1" operator="equal">
      <formula>TRUE</formula>
    </cfRule>
    <cfRule type="containsText" dxfId="350" priority="1220" stopIfTrue="1" operator="containsText" text="N/A">
      <formula>NOT(ISERROR(SEARCH("N/A",Q115)))</formula>
    </cfRule>
  </conditionalFormatting>
  <conditionalFormatting sqref="L137">
    <cfRule type="containsErrors" dxfId="349" priority="1211" stopIfTrue="1">
      <formula>ISERROR(L137)</formula>
    </cfRule>
    <cfRule type="expression" dxfId="348" priority="1212" stopIfTrue="1">
      <formula>OR(L138=0,L139=0)</formula>
    </cfRule>
    <cfRule type="cellIs" dxfId="347" priority="1213" stopIfTrue="1" operator="equal">
      <formula>FALSE</formula>
    </cfRule>
    <cfRule type="cellIs" dxfId="346" priority="1214" stopIfTrue="1" operator="equal">
      <formula>TRUE</formula>
    </cfRule>
    <cfRule type="containsText" dxfId="345" priority="1215" stopIfTrue="1" operator="containsText" text="N/A">
      <formula>NOT(ISERROR(SEARCH("N/A",L137)))</formula>
    </cfRule>
  </conditionalFormatting>
  <conditionalFormatting sqref="L140">
    <cfRule type="containsErrors" dxfId="344" priority="1206" stopIfTrue="1">
      <formula>ISERROR(L140)</formula>
    </cfRule>
    <cfRule type="expression" dxfId="343" priority="1207" stopIfTrue="1">
      <formula>OR(L141=0,L142=0)</formula>
    </cfRule>
    <cfRule type="cellIs" dxfId="342" priority="1208" stopIfTrue="1" operator="equal">
      <formula>FALSE</formula>
    </cfRule>
    <cfRule type="cellIs" dxfId="341" priority="1209" stopIfTrue="1" operator="equal">
      <formula>TRUE</formula>
    </cfRule>
    <cfRule type="containsText" dxfId="340" priority="1210" stopIfTrue="1" operator="containsText" text="N/A">
      <formula>NOT(ISERROR(SEARCH("N/A",L140)))</formula>
    </cfRule>
  </conditionalFormatting>
  <conditionalFormatting sqref="M166:O166">
    <cfRule type="containsErrors" dxfId="339" priority="1201" stopIfTrue="1">
      <formula>ISERROR(M166)</formula>
    </cfRule>
    <cfRule type="expression" dxfId="338" priority="1202" stopIfTrue="1">
      <formula>(M167=0)</formula>
    </cfRule>
    <cfRule type="cellIs" dxfId="337" priority="1203" stopIfTrue="1" operator="equal">
      <formula>FALSE</formula>
    </cfRule>
    <cfRule type="cellIs" dxfId="336" priority="1204" stopIfTrue="1" operator="equal">
      <formula>TRUE</formula>
    </cfRule>
    <cfRule type="containsText" dxfId="335" priority="1205" stopIfTrue="1" operator="containsText" text="N/A">
      <formula>NOT(ISERROR(SEARCH("N/A",M166)))</formula>
    </cfRule>
  </conditionalFormatting>
  <conditionalFormatting sqref="Q166">
    <cfRule type="containsErrors" dxfId="334" priority="1196" stopIfTrue="1">
      <formula>ISERROR(Q166)</formula>
    </cfRule>
    <cfRule type="expression" dxfId="333" priority="1197" stopIfTrue="1">
      <formula>(Q167=0)</formula>
    </cfRule>
    <cfRule type="cellIs" dxfId="332" priority="1198" stopIfTrue="1" operator="equal">
      <formula>FALSE</formula>
    </cfRule>
    <cfRule type="cellIs" dxfId="331" priority="1199" stopIfTrue="1" operator="equal">
      <formula>TRUE</formula>
    </cfRule>
    <cfRule type="containsText" dxfId="330" priority="1200" stopIfTrue="1" operator="containsText" text="N/A">
      <formula>NOT(ISERROR(SEARCH("N/A",Q166)))</formula>
    </cfRule>
  </conditionalFormatting>
  <conditionalFormatting sqref="M203:O203">
    <cfRule type="containsErrors" dxfId="329" priority="1181" stopIfTrue="1">
      <formula>ISERROR(M203)</formula>
    </cfRule>
    <cfRule type="expression" dxfId="328" priority="1182" stopIfTrue="1">
      <formula>(M204=0)</formula>
    </cfRule>
    <cfRule type="cellIs" dxfId="327" priority="1183" stopIfTrue="1" operator="equal">
      <formula>FALSE</formula>
    </cfRule>
    <cfRule type="cellIs" dxfId="326" priority="1184" stopIfTrue="1" operator="equal">
      <formula>TRUE</formula>
    </cfRule>
    <cfRule type="containsText" dxfId="325" priority="1185" stopIfTrue="1" operator="containsText" text="N/A">
      <formula>NOT(ISERROR(SEARCH("N/A",M203)))</formula>
    </cfRule>
  </conditionalFormatting>
  <conditionalFormatting sqref="Q203">
    <cfRule type="containsErrors" dxfId="324" priority="1176" stopIfTrue="1">
      <formula>ISERROR(Q203)</formula>
    </cfRule>
    <cfRule type="expression" dxfId="323" priority="1177" stopIfTrue="1">
      <formula>(Q204=0)</formula>
    </cfRule>
    <cfRule type="cellIs" dxfId="322" priority="1178" stopIfTrue="1" operator="equal">
      <formula>FALSE</formula>
    </cfRule>
    <cfRule type="cellIs" dxfId="321" priority="1179" stopIfTrue="1" operator="equal">
      <formula>TRUE</formula>
    </cfRule>
    <cfRule type="containsText" dxfId="320" priority="1180" stopIfTrue="1" operator="containsText" text="N/A">
      <formula>NOT(ISERROR(SEARCH("N/A",Q203)))</formula>
    </cfRule>
  </conditionalFormatting>
  <conditionalFormatting sqref="E34:O34 Q34">
    <cfRule type="containsErrors" dxfId="319" priority="1121" stopIfTrue="1">
      <formula>ISERROR(E34)</formula>
    </cfRule>
    <cfRule type="expression" dxfId="318" priority="1122" stopIfTrue="1">
      <formula>OR(E35=0,E36=0)</formula>
    </cfRule>
    <cfRule type="cellIs" dxfId="317" priority="1123" stopIfTrue="1" operator="equal">
      <formula>FALSE</formula>
    </cfRule>
    <cfRule type="cellIs" dxfId="316" priority="1124" stopIfTrue="1" operator="equal">
      <formula>TRUE</formula>
    </cfRule>
    <cfRule type="containsText" dxfId="315" priority="1125" stopIfTrue="1" operator="containsText" text="N/A">
      <formula>NOT(ISERROR(SEARCH("N/A",E34)))</formula>
    </cfRule>
  </conditionalFormatting>
  <conditionalFormatting sqref="E82:O82 Q82">
    <cfRule type="containsErrors" dxfId="314" priority="1116" stopIfTrue="1">
      <formula>ISERROR(E82)</formula>
    </cfRule>
    <cfRule type="expression" dxfId="313" priority="1117" stopIfTrue="1">
      <formula>OR(E83=0,E84=0)</formula>
    </cfRule>
    <cfRule type="cellIs" dxfId="312" priority="1118" stopIfTrue="1" operator="equal">
      <formula>FALSE</formula>
    </cfRule>
    <cfRule type="cellIs" dxfId="311" priority="1119" stopIfTrue="1" operator="equal">
      <formula>TRUE</formula>
    </cfRule>
    <cfRule type="containsText" dxfId="310" priority="1120" stopIfTrue="1" operator="containsText" text="N/A">
      <formula>NOT(ISERROR(SEARCH("N/A",E82)))</formula>
    </cfRule>
  </conditionalFormatting>
  <conditionalFormatting sqref="E37:O37 Q37">
    <cfRule type="containsErrors" dxfId="309" priority="1111" stopIfTrue="1">
      <formula>ISERROR(E37)</formula>
    </cfRule>
    <cfRule type="expression" dxfId="308" priority="1112" stopIfTrue="1">
      <formula>OR(E38=0,E39=0)</formula>
    </cfRule>
    <cfRule type="cellIs" dxfId="307" priority="1113" stopIfTrue="1" operator="equal">
      <formula>FALSE</formula>
    </cfRule>
    <cfRule type="cellIs" dxfId="306" priority="1114" stopIfTrue="1" operator="equal">
      <formula>TRUE</formula>
    </cfRule>
    <cfRule type="containsText" dxfId="305" priority="1115" stopIfTrue="1" operator="containsText" text="N/A">
      <formula>NOT(ISERROR(SEARCH("N/A",E37)))</formula>
    </cfRule>
  </conditionalFormatting>
  <conditionalFormatting sqref="E40:O40 Q40">
    <cfRule type="containsErrors" dxfId="304" priority="1106" stopIfTrue="1">
      <formula>ISERROR(E40)</formula>
    </cfRule>
    <cfRule type="expression" dxfId="303" priority="1107" stopIfTrue="1">
      <formula>OR(E41=0,E42=0)</formula>
    </cfRule>
    <cfRule type="cellIs" dxfId="302" priority="1108" stopIfTrue="1" operator="equal">
      <formula>FALSE</formula>
    </cfRule>
    <cfRule type="cellIs" dxfId="301" priority="1109" stopIfTrue="1" operator="equal">
      <formula>TRUE</formula>
    </cfRule>
    <cfRule type="containsText" dxfId="300" priority="1110" stopIfTrue="1" operator="containsText" text="N/A">
      <formula>NOT(ISERROR(SEARCH("N/A",E40)))</formula>
    </cfRule>
  </conditionalFormatting>
  <conditionalFormatting sqref="E43:O43 Q43">
    <cfRule type="containsErrors" dxfId="299" priority="1101" stopIfTrue="1">
      <formula>ISERROR(E43)</formula>
    </cfRule>
    <cfRule type="expression" dxfId="298" priority="1102" stopIfTrue="1">
      <formula>OR(E44=0,E45=0)</formula>
    </cfRule>
    <cfRule type="cellIs" dxfId="297" priority="1103" stopIfTrue="1" operator="equal">
      <formula>FALSE</formula>
    </cfRule>
    <cfRule type="cellIs" dxfId="296" priority="1104" stopIfTrue="1" operator="equal">
      <formula>TRUE</formula>
    </cfRule>
    <cfRule type="containsText" dxfId="295" priority="1105" stopIfTrue="1" operator="containsText" text="N/A">
      <formula>NOT(ISERROR(SEARCH("N/A",E43)))</formula>
    </cfRule>
  </conditionalFormatting>
  <conditionalFormatting sqref="E46:O46 Q46">
    <cfRule type="containsErrors" dxfId="294" priority="1096" stopIfTrue="1">
      <formula>ISERROR(E46)</formula>
    </cfRule>
    <cfRule type="expression" dxfId="293" priority="1097" stopIfTrue="1">
      <formula>OR(E47=0,E48=0)</formula>
    </cfRule>
    <cfRule type="cellIs" dxfId="292" priority="1098" stopIfTrue="1" operator="equal">
      <formula>FALSE</formula>
    </cfRule>
    <cfRule type="cellIs" dxfId="291" priority="1099" stopIfTrue="1" operator="equal">
      <formula>TRUE</formula>
    </cfRule>
    <cfRule type="containsText" dxfId="290" priority="1100" stopIfTrue="1" operator="containsText" text="N/A">
      <formula>NOT(ISERROR(SEARCH("N/A",E46)))</formula>
    </cfRule>
  </conditionalFormatting>
  <conditionalFormatting sqref="E49:O49 Q49">
    <cfRule type="containsErrors" dxfId="289" priority="1091" stopIfTrue="1">
      <formula>ISERROR(E49)</formula>
    </cfRule>
    <cfRule type="expression" dxfId="288" priority="1092" stopIfTrue="1">
      <formula>OR(E50=0,E51=0)</formula>
    </cfRule>
    <cfRule type="cellIs" dxfId="287" priority="1093" stopIfTrue="1" operator="equal">
      <formula>FALSE</formula>
    </cfRule>
    <cfRule type="cellIs" dxfId="286" priority="1094" stopIfTrue="1" operator="equal">
      <formula>TRUE</formula>
    </cfRule>
    <cfRule type="containsText" dxfId="285" priority="1095" stopIfTrue="1" operator="containsText" text="N/A">
      <formula>NOT(ISERROR(SEARCH("N/A",E49)))</formula>
    </cfRule>
  </conditionalFormatting>
  <conditionalFormatting sqref="E52:O52 Q52">
    <cfRule type="containsErrors" dxfId="284" priority="1086" stopIfTrue="1">
      <formula>ISERROR(E52)</formula>
    </cfRule>
    <cfRule type="expression" dxfId="283" priority="1087" stopIfTrue="1">
      <formula>OR(E53=0,E54=0)</formula>
    </cfRule>
    <cfRule type="cellIs" dxfId="282" priority="1088" stopIfTrue="1" operator="equal">
      <formula>FALSE</formula>
    </cfRule>
    <cfRule type="cellIs" dxfId="281" priority="1089" stopIfTrue="1" operator="equal">
      <formula>TRUE</formula>
    </cfRule>
    <cfRule type="containsText" dxfId="280" priority="1090" stopIfTrue="1" operator="containsText" text="N/A">
      <formula>NOT(ISERROR(SEARCH("N/A",E52)))</formula>
    </cfRule>
  </conditionalFormatting>
  <conditionalFormatting sqref="E55:O55 Q55">
    <cfRule type="containsErrors" dxfId="279" priority="1081" stopIfTrue="1">
      <formula>ISERROR(E55)</formula>
    </cfRule>
    <cfRule type="expression" dxfId="278" priority="1082" stopIfTrue="1">
      <formula>OR(E56=0,E57=0)</formula>
    </cfRule>
    <cfRule type="cellIs" dxfId="277" priority="1083" stopIfTrue="1" operator="equal">
      <formula>FALSE</formula>
    </cfRule>
    <cfRule type="cellIs" dxfId="276" priority="1084" stopIfTrue="1" operator="equal">
      <formula>TRUE</formula>
    </cfRule>
    <cfRule type="containsText" dxfId="275" priority="1085" stopIfTrue="1" operator="containsText" text="N/A">
      <formula>NOT(ISERROR(SEARCH("N/A",E55)))</formula>
    </cfRule>
  </conditionalFormatting>
  <conditionalFormatting sqref="E58:O58 Q58">
    <cfRule type="containsErrors" dxfId="274" priority="1076" stopIfTrue="1">
      <formula>ISERROR(E58)</formula>
    </cfRule>
    <cfRule type="expression" dxfId="273" priority="1077" stopIfTrue="1">
      <formula>OR(E59=0,E60=0)</formula>
    </cfRule>
    <cfRule type="cellIs" dxfId="272" priority="1078" stopIfTrue="1" operator="equal">
      <formula>FALSE</formula>
    </cfRule>
    <cfRule type="cellIs" dxfId="271" priority="1079" stopIfTrue="1" operator="equal">
      <formula>TRUE</formula>
    </cfRule>
    <cfRule type="containsText" dxfId="270" priority="1080" stopIfTrue="1" operator="containsText" text="N/A">
      <formula>NOT(ISERROR(SEARCH("N/A",E58)))</formula>
    </cfRule>
  </conditionalFormatting>
  <conditionalFormatting sqref="E61:O61 Q61">
    <cfRule type="containsErrors" dxfId="269" priority="1071" stopIfTrue="1">
      <formula>ISERROR(E61)</formula>
    </cfRule>
    <cfRule type="expression" dxfId="268" priority="1072" stopIfTrue="1">
      <formula>OR(E62=0,E63=0)</formula>
    </cfRule>
    <cfRule type="cellIs" dxfId="267" priority="1073" stopIfTrue="1" operator="equal">
      <formula>FALSE</formula>
    </cfRule>
    <cfRule type="cellIs" dxfId="266" priority="1074" stopIfTrue="1" operator="equal">
      <formula>TRUE</formula>
    </cfRule>
    <cfRule type="containsText" dxfId="265" priority="1075" stopIfTrue="1" operator="containsText" text="N/A">
      <formula>NOT(ISERROR(SEARCH("N/A",E61)))</formula>
    </cfRule>
  </conditionalFormatting>
  <conditionalFormatting sqref="E64:O64 Q64">
    <cfRule type="containsErrors" dxfId="264" priority="1066" stopIfTrue="1">
      <formula>ISERROR(E64)</formula>
    </cfRule>
    <cfRule type="expression" dxfId="263" priority="1067" stopIfTrue="1">
      <formula>OR(E65=0,E66=0)</formula>
    </cfRule>
    <cfRule type="cellIs" dxfId="262" priority="1068" stopIfTrue="1" operator="equal">
      <formula>FALSE</formula>
    </cfRule>
    <cfRule type="cellIs" dxfId="261" priority="1069" stopIfTrue="1" operator="equal">
      <formula>TRUE</formula>
    </cfRule>
    <cfRule type="containsText" dxfId="260" priority="1070" stopIfTrue="1" operator="containsText" text="N/A">
      <formula>NOT(ISERROR(SEARCH("N/A",E64)))</formula>
    </cfRule>
  </conditionalFormatting>
  <conditionalFormatting sqref="E67:O67 Q67">
    <cfRule type="containsErrors" dxfId="259" priority="1061" stopIfTrue="1">
      <formula>ISERROR(E67)</formula>
    </cfRule>
    <cfRule type="expression" dxfId="258" priority="1062" stopIfTrue="1">
      <formula>OR(E68=0,E69=0)</formula>
    </cfRule>
    <cfRule type="cellIs" dxfId="257" priority="1063" stopIfTrue="1" operator="equal">
      <formula>FALSE</formula>
    </cfRule>
    <cfRule type="cellIs" dxfId="256" priority="1064" stopIfTrue="1" operator="equal">
      <formula>TRUE</formula>
    </cfRule>
    <cfRule type="containsText" dxfId="255" priority="1065" stopIfTrue="1" operator="containsText" text="N/A">
      <formula>NOT(ISERROR(SEARCH("N/A",E67)))</formula>
    </cfRule>
  </conditionalFormatting>
  <conditionalFormatting sqref="E70:O70 Q70">
    <cfRule type="containsErrors" dxfId="254" priority="1056" stopIfTrue="1">
      <formula>ISERROR(E70)</formula>
    </cfRule>
    <cfRule type="expression" dxfId="253" priority="1057" stopIfTrue="1">
      <formula>OR(E71=0,E72=0)</formula>
    </cfRule>
    <cfRule type="cellIs" dxfId="252" priority="1058" stopIfTrue="1" operator="equal">
      <formula>FALSE</formula>
    </cfRule>
    <cfRule type="cellIs" dxfId="251" priority="1059" stopIfTrue="1" operator="equal">
      <formula>TRUE</formula>
    </cfRule>
    <cfRule type="containsText" dxfId="250" priority="1060" stopIfTrue="1" operator="containsText" text="N/A">
      <formula>NOT(ISERROR(SEARCH("N/A",E70)))</formula>
    </cfRule>
  </conditionalFormatting>
  <conditionalFormatting sqref="E73:O73 Q73">
    <cfRule type="containsErrors" dxfId="249" priority="1051" stopIfTrue="1">
      <formula>ISERROR(E73)</formula>
    </cfRule>
    <cfRule type="expression" dxfId="248" priority="1052" stopIfTrue="1">
      <formula>OR(E74=0,E75=0)</formula>
    </cfRule>
    <cfRule type="cellIs" dxfId="247" priority="1053" stopIfTrue="1" operator="equal">
      <formula>FALSE</formula>
    </cfRule>
    <cfRule type="cellIs" dxfId="246" priority="1054" stopIfTrue="1" operator="equal">
      <formula>TRUE</formula>
    </cfRule>
    <cfRule type="containsText" dxfId="245" priority="1055" stopIfTrue="1" operator="containsText" text="N/A">
      <formula>NOT(ISERROR(SEARCH("N/A",E73)))</formula>
    </cfRule>
  </conditionalFormatting>
  <conditionalFormatting sqref="E76:O76 Q76">
    <cfRule type="containsErrors" dxfId="244" priority="1046" stopIfTrue="1">
      <formula>ISERROR(E76)</formula>
    </cfRule>
    <cfRule type="expression" dxfId="243" priority="1047" stopIfTrue="1">
      <formula>OR(E77=0,E78=0)</formula>
    </cfRule>
    <cfRule type="cellIs" dxfId="242" priority="1048" stopIfTrue="1" operator="equal">
      <formula>FALSE</formula>
    </cfRule>
    <cfRule type="cellIs" dxfId="241" priority="1049" stopIfTrue="1" operator="equal">
      <formula>TRUE</formula>
    </cfRule>
    <cfRule type="containsText" dxfId="240" priority="1050" stopIfTrue="1" operator="containsText" text="N/A">
      <formula>NOT(ISERROR(SEARCH("N/A",E76)))</formula>
    </cfRule>
  </conditionalFormatting>
  <conditionalFormatting sqref="M118:O118">
    <cfRule type="containsErrors" dxfId="239" priority="801" stopIfTrue="1">
      <formula>ISERROR(M118)</formula>
    </cfRule>
    <cfRule type="expression" dxfId="238" priority="802" stopIfTrue="1">
      <formula>(M119=0)</formula>
    </cfRule>
    <cfRule type="cellIs" dxfId="237" priority="803" stopIfTrue="1" operator="equal">
      <formula>FALSE</formula>
    </cfRule>
    <cfRule type="cellIs" dxfId="236" priority="804" stopIfTrue="1" operator="equal">
      <formula>TRUE</formula>
    </cfRule>
    <cfRule type="containsText" dxfId="235" priority="805" stopIfTrue="1" operator="containsText" text="N/A">
      <formula>NOT(ISERROR(SEARCH("N/A",M118)))</formula>
    </cfRule>
  </conditionalFormatting>
  <conditionalFormatting sqref="Q118">
    <cfRule type="containsErrors" dxfId="234" priority="796" stopIfTrue="1">
      <formula>ISERROR(Q118)</formula>
    </cfRule>
    <cfRule type="expression" dxfId="233" priority="797" stopIfTrue="1">
      <formula>(Q119=0)</formula>
    </cfRule>
    <cfRule type="cellIs" dxfId="232" priority="798" stopIfTrue="1" operator="equal">
      <formula>FALSE</formula>
    </cfRule>
    <cfRule type="cellIs" dxfId="231" priority="799" stopIfTrue="1" operator="equal">
      <formula>TRUE</formula>
    </cfRule>
    <cfRule type="containsText" dxfId="230" priority="800" stopIfTrue="1" operator="containsText" text="N/A">
      <formula>NOT(ISERROR(SEARCH("N/A",Q118)))</formula>
    </cfRule>
  </conditionalFormatting>
  <conditionalFormatting sqref="E318:O318 Q318">
    <cfRule type="containsErrors" dxfId="229" priority="211" stopIfTrue="1">
      <formula>ISERROR(E318)</formula>
    </cfRule>
    <cfRule type="expression" dxfId="228" priority="212" stopIfTrue="1">
      <formula>OR(E319=0,E320=0)</formula>
    </cfRule>
    <cfRule type="cellIs" dxfId="227" priority="213" stopIfTrue="1" operator="equal">
      <formula>FALSE</formula>
    </cfRule>
    <cfRule type="cellIs" dxfId="226" priority="214" stopIfTrue="1" operator="equal">
      <formula>TRUE</formula>
    </cfRule>
    <cfRule type="containsText" dxfId="225" priority="215" stopIfTrue="1" operator="containsText" text="N/A">
      <formula>NOT(ISERROR(SEARCH("N/A",E318)))</formula>
    </cfRule>
  </conditionalFormatting>
  <conditionalFormatting sqref="E321:K321 Q321 M321:O321 E324:K324 Q324 M324:O324 E327:K327 Q327 M327:O327 E330:K330 Q330 M330:O330">
    <cfRule type="containsErrors" dxfId="224" priority="241" stopIfTrue="1">
      <formula>ISERROR(E321)</formula>
    </cfRule>
    <cfRule type="expression" dxfId="223" priority="242" stopIfTrue="1">
      <formula>OR(E322=0,E323=0)</formula>
    </cfRule>
    <cfRule type="cellIs" dxfId="222" priority="243" stopIfTrue="1" operator="equal">
      <formula>FALSE</formula>
    </cfRule>
    <cfRule type="cellIs" dxfId="221" priority="244" stopIfTrue="1" operator="equal">
      <formula>TRUE</formula>
    </cfRule>
    <cfRule type="containsText" dxfId="220" priority="245" stopIfTrue="1" operator="containsText" text="N/A">
      <formula>NOT(ISERROR(SEARCH("N/A",E321)))</formula>
    </cfRule>
  </conditionalFormatting>
  <conditionalFormatting sqref="E306:O306 Q306">
    <cfRule type="containsErrors" dxfId="219" priority="236" stopIfTrue="1">
      <formula>ISERROR(E306)</formula>
    </cfRule>
    <cfRule type="expression" dxfId="218" priority="237" stopIfTrue="1">
      <formula>OR(E307=0,E308=0)</formula>
    </cfRule>
    <cfRule type="cellIs" dxfId="217" priority="238" stopIfTrue="1" operator="equal">
      <formula>FALSE</formula>
    </cfRule>
    <cfRule type="cellIs" dxfId="216" priority="239" stopIfTrue="1" operator="equal">
      <formula>TRUE</formula>
    </cfRule>
    <cfRule type="containsText" dxfId="215" priority="240" stopIfTrue="1" operator="containsText" text="N/A">
      <formula>NOT(ISERROR(SEARCH("N/A",E306)))</formula>
    </cfRule>
  </conditionalFormatting>
  <conditionalFormatting sqref="E312:O312 Q312">
    <cfRule type="containsErrors" dxfId="214" priority="231" stopIfTrue="1">
      <formula>ISERROR(E312)</formula>
    </cfRule>
    <cfRule type="expression" dxfId="213" priority="232" stopIfTrue="1">
      <formula>OR(E313=0,E314=0)</formula>
    </cfRule>
    <cfRule type="cellIs" dxfId="212" priority="233" stopIfTrue="1" operator="equal">
      <formula>FALSE</formula>
    </cfRule>
    <cfRule type="cellIs" dxfId="211" priority="234" stopIfTrue="1" operator="equal">
      <formula>TRUE</formula>
    </cfRule>
    <cfRule type="containsText" dxfId="210" priority="235" stopIfTrue="1" operator="containsText" text="N/A">
      <formula>NOT(ISERROR(SEARCH("N/A",E312)))</formula>
    </cfRule>
  </conditionalFormatting>
  <conditionalFormatting sqref="E315:L315">
    <cfRule type="containsErrors" dxfId="209" priority="226" stopIfTrue="1">
      <formula>ISERROR(E315)</formula>
    </cfRule>
    <cfRule type="expression" dxfId="208" priority="227" stopIfTrue="1">
      <formula>OR(E316=0,E317=0)</formula>
    </cfRule>
    <cfRule type="cellIs" dxfId="207" priority="228" stopIfTrue="1" operator="equal">
      <formula>FALSE</formula>
    </cfRule>
    <cfRule type="cellIs" dxfId="206" priority="229" stopIfTrue="1" operator="equal">
      <formula>TRUE</formula>
    </cfRule>
    <cfRule type="containsText" dxfId="205" priority="230" stopIfTrue="1" operator="containsText" text="N/A">
      <formula>NOT(ISERROR(SEARCH("N/A",E315)))</formula>
    </cfRule>
  </conditionalFormatting>
  <conditionalFormatting sqref="E287:O287 Q287">
    <cfRule type="containsErrors" dxfId="204" priority="171" stopIfTrue="1">
      <formula>ISERROR(E287)</formula>
    </cfRule>
    <cfRule type="expression" dxfId="203" priority="172" stopIfTrue="1">
      <formula>OR(E288=0,E289=0)</formula>
    </cfRule>
    <cfRule type="cellIs" dxfId="202" priority="173" stopIfTrue="1" operator="equal">
      <formula>FALSE</formula>
    </cfRule>
    <cfRule type="cellIs" dxfId="201" priority="174" stopIfTrue="1" operator="equal">
      <formula>TRUE</formula>
    </cfRule>
    <cfRule type="containsText" dxfId="200" priority="175" stopIfTrue="1" operator="containsText" text="N/A">
      <formula>NOT(ISERROR(SEARCH("N/A",E287)))</formula>
    </cfRule>
  </conditionalFormatting>
  <conditionalFormatting sqref="E259:K259 Q259 M259:O259 E262:K262 Q262 M262:O262 E265:K265 Q265 M265:O265 E268:K268 Q268 M268:O268">
    <cfRule type="containsErrors" dxfId="199" priority="161" stopIfTrue="1">
      <formula>ISERROR(E259)</formula>
    </cfRule>
    <cfRule type="expression" dxfId="198" priority="162" stopIfTrue="1">
      <formula>OR(E260=0,E261=0)</formula>
    </cfRule>
    <cfRule type="cellIs" dxfId="197" priority="163" stopIfTrue="1" operator="equal">
      <formula>FALSE</formula>
    </cfRule>
    <cfRule type="cellIs" dxfId="196" priority="164" stopIfTrue="1" operator="equal">
      <formula>TRUE</formula>
    </cfRule>
    <cfRule type="containsText" dxfId="195" priority="165" stopIfTrue="1" operator="containsText" text="N/A">
      <formula>NOT(ISERROR(SEARCH("N/A",E259)))</formula>
    </cfRule>
  </conditionalFormatting>
  <conditionalFormatting sqref="E309:O309 Q309">
    <cfRule type="containsErrors" dxfId="194" priority="216" stopIfTrue="1">
      <formula>ISERROR(E309)</formula>
    </cfRule>
    <cfRule type="cellIs" dxfId="193" priority="217" stopIfTrue="1" operator="equal">
      <formula>FALSE</formula>
    </cfRule>
    <cfRule type="expression" dxfId="192" priority="218" stopIfTrue="1">
      <formula>OR(E310=0,E311=0)</formula>
    </cfRule>
    <cfRule type="cellIs" dxfId="191" priority="219" stopIfTrue="1" operator="equal">
      <formula>TRUE</formula>
    </cfRule>
    <cfRule type="containsText" dxfId="190" priority="220" stopIfTrue="1" operator="containsText" text="N/A">
      <formula>NOT(ISERROR(SEARCH("N/A",E309)))</formula>
    </cfRule>
  </conditionalFormatting>
  <conditionalFormatting sqref="E290:K290 Q290 M290:O290 E293:K293 Q293 M293:O293 E296:K296 Q296 M296:O296 E299:K299 Q299 M299:O299">
    <cfRule type="containsErrors" dxfId="189" priority="201" stopIfTrue="1">
      <formula>ISERROR(E290)</formula>
    </cfRule>
    <cfRule type="expression" dxfId="188" priority="202" stopIfTrue="1">
      <formula>OR(E291=0,E292=0)</formula>
    </cfRule>
    <cfRule type="cellIs" dxfId="187" priority="203" stopIfTrue="1" operator="equal">
      <formula>FALSE</formula>
    </cfRule>
    <cfRule type="cellIs" dxfId="186" priority="204" stopIfTrue="1" operator="equal">
      <formula>TRUE</formula>
    </cfRule>
    <cfRule type="containsText" dxfId="185" priority="205" stopIfTrue="1" operator="containsText" text="N/A">
      <formula>NOT(ISERROR(SEARCH("N/A",E290)))</formula>
    </cfRule>
  </conditionalFormatting>
  <conditionalFormatting sqref="E275:O275 Q275">
    <cfRule type="containsErrors" dxfId="184" priority="196" stopIfTrue="1">
      <formula>ISERROR(E275)</formula>
    </cfRule>
    <cfRule type="expression" dxfId="183" priority="197" stopIfTrue="1">
      <formula>OR(E276=0,E277=0)</formula>
    </cfRule>
    <cfRule type="cellIs" dxfId="182" priority="198" stopIfTrue="1" operator="equal">
      <formula>FALSE</formula>
    </cfRule>
    <cfRule type="cellIs" dxfId="181" priority="199" stopIfTrue="1" operator="equal">
      <formula>TRUE</formula>
    </cfRule>
    <cfRule type="containsText" dxfId="180" priority="200" stopIfTrue="1" operator="containsText" text="N/A">
      <formula>NOT(ISERROR(SEARCH("N/A",E275)))</formula>
    </cfRule>
  </conditionalFormatting>
  <conditionalFormatting sqref="E281:O281 Q281">
    <cfRule type="containsErrors" dxfId="179" priority="191" stopIfTrue="1">
      <formula>ISERROR(E281)</formula>
    </cfRule>
    <cfRule type="expression" dxfId="178" priority="192" stopIfTrue="1">
      <formula>OR(E282=0,E283=0)</formula>
    </cfRule>
    <cfRule type="cellIs" dxfId="177" priority="193" stopIfTrue="1" operator="equal">
      <formula>FALSE</formula>
    </cfRule>
    <cfRule type="cellIs" dxfId="176" priority="194" stopIfTrue="1" operator="equal">
      <formula>TRUE</formula>
    </cfRule>
    <cfRule type="containsText" dxfId="175" priority="195" stopIfTrue="1" operator="containsText" text="N/A">
      <formula>NOT(ISERROR(SEARCH("N/A",E281)))</formula>
    </cfRule>
  </conditionalFormatting>
  <conditionalFormatting sqref="E284:L284">
    <cfRule type="containsErrors" dxfId="174" priority="186" stopIfTrue="1">
      <formula>ISERROR(E284)</formula>
    </cfRule>
    <cfRule type="expression" dxfId="173" priority="187" stopIfTrue="1">
      <formula>OR(E285=0,E286=0)</formula>
    </cfRule>
    <cfRule type="cellIs" dxfId="172" priority="188" stopIfTrue="1" operator="equal">
      <formula>FALSE</formula>
    </cfRule>
    <cfRule type="cellIs" dxfId="171" priority="189" stopIfTrue="1" operator="equal">
      <formula>TRUE</formula>
    </cfRule>
    <cfRule type="containsText" dxfId="170" priority="190" stopIfTrue="1" operator="containsText" text="N/A">
      <formula>NOT(ISERROR(SEARCH("N/A",E284)))</formula>
    </cfRule>
  </conditionalFormatting>
  <conditionalFormatting sqref="E333:K333 Q333 M333:O333">
    <cfRule type="containsErrors" dxfId="169" priority="221" stopIfTrue="1">
      <formula>ISERROR(E333)</formula>
    </cfRule>
    <cfRule type="cellIs" dxfId="168" priority="222" stopIfTrue="1" operator="equal">
      <formula>FALSE</formula>
    </cfRule>
    <cfRule type="expression" dxfId="167" priority="223" stopIfTrue="1">
      <formula>OR(E334=0,E335=0)</formula>
    </cfRule>
    <cfRule type="cellIs" dxfId="166" priority="224" stopIfTrue="1" operator="equal">
      <formula>TRUE</formula>
    </cfRule>
    <cfRule type="containsText" dxfId="165" priority="225" stopIfTrue="1" operator="containsText" text="N/A">
      <formula>NOT(ISERROR(SEARCH("N/A",E333)))</formula>
    </cfRule>
  </conditionalFormatting>
  <conditionalFormatting sqref="E278:O278 Q278">
    <cfRule type="containsErrors" dxfId="164" priority="176" stopIfTrue="1">
      <formula>ISERROR(E278)</formula>
    </cfRule>
    <cfRule type="cellIs" dxfId="163" priority="177" stopIfTrue="1" operator="equal">
      <formula>FALSE</formula>
    </cfRule>
    <cfRule type="expression" dxfId="162" priority="178" stopIfTrue="1">
      <formula>OR(E279=0,E280=0)</formula>
    </cfRule>
    <cfRule type="cellIs" dxfId="161" priority="179" stopIfTrue="1" operator="equal">
      <formula>TRUE</formula>
    </cfRule>
    <cfRule type="containsText" dxfId="160" priority="180" stopIfTrue="1" operator="containsText" text="N/A">
      <formula>NOT(ISERROR(SEARCH("N/A",E278)))</formula>
    </cfRule>
  </conditionalFormatting>
  <conditionalFormatting sqref="E244:O244 Q244">
    <cfRule type="containsErrors" dxfId="159" priority="156" stopIfTrue="1">
      <formula>ISERROR(E244)</formula>
    </cfRule>
    <cfRule type="expression" dxfId="158" priority="157" stopIfTrue="1">
      <formula>OR(E245=0,E246=0)</formula>
    </cfRule>
    <cfRule type="cellIs" dxfId="157" priority="158" stopIfTrue="1" operator="equal">
      <formula>FALSE</formula>
    </cfRule>
    <cfRule type="cellIs" dxfId="156" priority="159" stopIfTrue="1" operator="equal">
      <formula>TRUE</formula>
    </cfRule>
    <cfRule type="containsText" dxfId="155" priority="160" stopIfTrue="1" operator="containsText" text="N/A">
      <formula>NOT(ISERROR(SEARCH("N/A",E244)))</formula>
    </cfRule>
  </conditionalFormatting>
  <conditionalFormatting sqref="E302:K302 Q302 M302:O302">
    <cfRule type="containsErrors" dxfId="154" priority="181" stopIfTrue="1">
      <formula>ISERROR(E302)</formula>
    </cfRule>
    <cfRule type="cellIs" dxfId="153" priority="182" stopIfTrue="1" operator="equal">
      <formula>FALSE</formula>
    </cfRule>
    <cfRule type="expression" dxfId="152" priority="183" stopIfTrue="1">
      <formula>OR(E303=0,E304=0)</formula>
    </cfRule>
    <cfRule type="cellIs" dxfId="151" priority="184" stopIfTrue="1" operator="equal">
      <formula>TRUE</formula>
    </cfRule>
    <cfRule type="containsText" dxfId="150" priority="185" stopIfTrue="1" operator="containsText" text="N/A">
      <formula>NOT(ISERROR(SEARCH("N/A",E302)))</formula>
    </cfRule>
  </conditionalFormatting>
  <conditionalFormatting sqref="E256:O256 Q256">
    <cfRule type="containsErrors" dxfId="149" priority="131" stopIfTrue="1">
      <formula>ISERROR(E256)</formula>
    </cfRule>
    <cfRule type="expression" dxfId="148" priority="132" stopIfTrue="1">
      <formula>OR(E257=0,E258=0)</formula>
    </cfRule>
    <cfRule type="cellIs" dxfId="147" priority="133" stopIfTrue="1" operator="equal">
      <formula>FALSE</formula>
    </cfRule>
    <cfRule type="cellIs" dxfId="146" priority="134" stopIfTrue="1" operator="equal">
      <formula>TRUE</formula>
    </cfRule>
    <cfRule type="containsText" dxfId="145" priority="135" stopIfTrue="1" operator="containsText" text="N/A">
      <formula>NOT(ISERROR(SEARCH("N/A",E256)))</formula>
    </cfRule>
  </conditionalFormatting>
  <conditionalFormatting sqref="M253:O253 Q253">
    <cfRule type="containsErrors" dxfId="144" priority="126" stopIfTrue="1">
      <formula>ISERROR(M253)</formula>
    </cfRule>
    <cfRule type="expression" dxfId="143" priority="127" stopIfTrue="1">
      <formula>OR(M254=0,M255=0)</formula>
    </cfRule>
    <cfRule type="cellIs" dxfId="142" priority="128" stopIfTrue="1" operator="equal">
      <formula>FALSE</formula>
    </cfRule>
    <cfRule type="cellIs" dxfId="141" priority="129" stopIfTrue="1" operator="equal">
      <formula>TRUE</formula>
    </cfRule>
    <cfRule type="containsText" dxfId="140" priority="130" stopIfTrue="1" operator="containsText" text="N/A">
      <formula>NOT(ISERROR(SEARCH("N/A",M253)))</formula>
    </cfRule>
  </conditionalFormatting>
  <conditionalFormatting sqref="E247:O247 Q247">
    <cfRule type="containsErrors" dxfId="139" priority="136" stopIfTrue="1">
      <formula>ISERROR(E247)</formula>
    </cfRule>
    <cfRule type="cellIs" dxfId="138" priority="137" stopIfTrue="1" operator="equal">
      <formula>FALSE</formula>
    </cfRule>
    <cfRule type="expression" dxfId="137" priority="138" stopIfTrue="1">
      <formula>OR(E248=0,E249=0)</formula>
    </cfRule>
    <cfRule type="cellIs" dxfId="136" priority="139" stopIfTrue="1" operator="equal">
      <formula>TRUE</formula>
    </cfRule>
    <cfRule type="containsText" dxfId="135" priority="140" stopIfTrue="1" operator="containsText" text="N/A">
      <formula>NOT(ISERROR(SEARCH("N/A",E247)))</formula>
    </cfRule>
  </conditionalFormatting>
  <conditionalFormatting sqref="E250:O250 Q250">
    <cfRule type="containsErrors" dxfId="134" priority="151" stopIfTrue="1">
      <formula>ISERROR(E250)</formula>
    </cfRule>
    <cfRule type="expression" dxfId="133" priority="152" stopIfTrue="1">
      <formula>OR(E251=0,E252=0)</formula>
    </cfRule>
    <cfRule type="cellIs" dxfId="132" priority="153" stopIfTrue="1" operator="equal">
      <formula>FALSE</formula>
    </cfRule>
    <cfRule type="cellIs" dxfId="131" priority="154" stopIfTrue="1" operator="equal">
      <formula>TRUE</formula>
    </cfRule>
    <cfRule type="containsText" dxfId="130" priority="155" stopIfTrue="1" operator="containsText" text="N/A">
      <formula>NOT(ISERROR(SEARCH("N/A",E250)))</formula>
    </cfRule>
  </conditionalFormatting>
  <conditionalFormatting sqref="E253:L253">
    <cfRule type="containsErrors" dxfId="129" priority="146" stopIfTrue="1">
      <formula>ISERROR(E253)</formula>
    </cfRule>
    <cfRule type="expression" dxfId="128" priority="147" stopIfTrue="1">
      <formula>OR(E254=0,E255=0)</formula>
    </cfRule>
    <cfRule type="cellIs" dxfId="127" priority="148" stopIfTrue="1" operator="equal">
      <formula>FALSE</formula>
    </cfRule>
    <cfRule type="cellIs" dxfId="126" priority="149" stopIfTrue="1" operator="equal">
      <formula>TRUE</formula>
    </cfRule>
    <cfRule type="containsText" dxfId="125" priority="150" stopIfTrue="1" operator="containsText" text="N/A">
      <formula>NOT(ISERROR(SEARCH("N/A",E253)))</formula>
    </cfRule>
  </conditionalFormatting>
  <conditionalFormatting sqref="E271:K271 Q271 M271:O271">
    <cfRule type="containsErrors" dxfId="124" priority="141" stopIfTrue="1">
      <formula>ISERROR(E271)</formula>
    </cfRule>
    <cfRule type="cellIs" dxfId="123" priority="142" stopIfTrue="1" operator="equal">
      <formula>FALSE</formula>
    </cfRule>
    <cfRule type="expression" dxfId="122" priority="143" stopIfTrue="1">
      <formula>OR(E272=0,E273=0)</formula>
    </cfRule>
    <cfRule type="cellIs" dxfId="121" priority="144" stopIfTrue="1" operator="equal">
      <formula>TRUE</formula>
    </cfRule>
    <cfRule type="containsText" dxfId="120" priority="145" stopIfTrue="1" operator="containsText" text="N/A">
      <formula>NOT(ISERROR(SEARCH("N/A",E271)))</formula>
    </cfRule>
  </conditionalFormatting>
  <conditionalFormatting sqref="E216:O216 Q216">
    <cfRule type="containsErrors" dxfId="119" priority="96" stopIfTrue="1">
      <formula>ISERROR(E216)</formula>
    </cfRule>
    <cfRule type="cellIs" dxfId="118" priority="97" stopIfTrue="1" operator="equal">
      <formula>FALSE</formula>
    </cfRule>
    <cfRule type="expression" dxfId="117" priority="98" stopIfTrue="1">
      <formula>OR(E217=0,E218=0)</formula>
    </cfRule>
    <cfRule type="cellIs" dxfId="116" priority="99" stopIfTrue="1" operator="equal">
      <formula>TRUE</formula>
    </cfRule>
    <cfRule type="containsText" dxfId="115" priority="100" stopIfTrue="1" operator="containsText" text="N/A">
      <formula>NOT(ISERROR(SEARCH("N/A",E216)))</formula>
    </cfRule>
  </conditionalFormatting>
  <conditionalFormatting sqref="E228:K228 Q228 M228:O228 E231:K231 Q231 M231:O231 E234:K234 Q234 M234:O234 E237:K237 Q237 M237:O237">
    <cfRule type="containsErrors" dxfId="114" priority="121" stopIfTrue="1">
      <formula>ISERROR(E228)</formula>
    </cfRule>
    <cfRule type="expression" dxfId="113" priority="122" stopIfTrue="1">
      <formula>OR(E229=0,E230=0)</formula>
    </cfRule>
    <cfRule type="cellIs" dxfId="112" priority="123" stopIfTrue="1" operator="equal">
      <formula>FALSE</formula>
    </cfRule>
    <cfRule type="cellIs" dxfId="111" priority="124" stopIfTrue="1" operator="equal">
      <formula>TRUE</formula>
    </cfRule>
    <cfRule type="containsText" dxfId="110" priority="125" stopIfTrue="1" operator="containsText" text="N/A">
      <formula>NOT(ISERROR(SEARCH("N/A",E228)))</formula>
    </cfRule>
  </conditionalFormatting>
  <conditionalFormatting sqref="E213:O213 Q213">
    <cfRule type="containsErrors" dxfId="109" priority="116" stopIfTrue="1">
      <formula>ISERROR(E213)</formula>
    </cfRule>
    <cfRule type="expression" dxfId="108" priority="117" stopIfTrue="1">
      <formula>OR(E214=0,E215=0)</formula>
    </cfRule>
    <cfRule type="cellIs" dxfId="107" priority="118" stopIfTrue="1" operator="equal">
      <formula>FALSE</formula>
    </cfRule>
    <cfRule type="cellIs" dxfId="106" priority="119" stopIfTrue="1" operator="equal">
      <formula>TRUE</formula>
    </cfRule>
    <cfRule type="containsText" dxfId="105" priority="120" stopIfTrue="1" operator="containsText" text="N/A">
      <formula>NOT(ISERROR(SEARCH("N/A",E213)))</formula>
    </cfRule>
  </conditionalFormatting>
  <conditionalFormatting sqref="E219:O219 Q219">
    <cfRule type="containsErrors" dxfId="104" priority="111" stopIfTrue="1">
      <formula>ISERROR(E219)</formula>
    </cfRule>
    <cfRule type="expression" dxfId="103" priority="112" stopIfTrue="1">
      <formula>OR(E220=0,E221=0)</formula>
    </cfRule>
    <cfRule type="cellIs" dxfId="102" priority="113" stopIfTrue="1" operator="equal">
      <formula>FALSE</formula>
    </cfRule>
    <cfRule type="cellIs" dxfId="101" priority="114" stopIfTrue="1" operator="equal">
      <formula>TRUE</formula>
    </cfRule>
    <cfRule type="containsText" dxfId="100" priority="115" stopIfTrue="1" operator="containsText" text="N/A">
      <formula>NOT(ISERROR(SEARCH("N/A",E219)))</formula>
    </cfRule>
  </conditionalFormatting>
  <conditionalFormatting sqref="E222:L222">
    <cfRule type="containsErrors" dxfId="99" priority="106" stopIfTrue="1">
      <formula>ISERROR(E222)</formula>
    </cfRule>
    <cfRule type="expression" dxfId="98" priority="107" stopIfTrue="1">
      <formula>OR(E223=0,E224=0)</formula>
    </cfRule>
    <cfRule type="cellIs" dxfId="97" priority="108" stopIfTrue="1" operator="equal">
      <formula>FALSE</formula>
    </cfRule>
    <cfRule type="cellIs" dxfId="96" priority="109" stopIfTrue="1" operator="equal">
      <formula>TRUE</formula>
    </cfRule>
    <cfRule type="containsText" dxfId="95" priority="110" stopIfTrue="1" operator="containsText" text="N/A">
      <formula>NOT(ISERROR(SEARCH("N/A",E222)))</formula>
    </cfRule>
  </conditionalFormatting>
  <conditionalFormatting sqref="E240:K240 Q240 M240:O240">
    <cfRule type="containsErrors" dxfId="94" priority="101" stopIfTrue="1">
      <formula>ISERROR(E240)</formula>
    </cfRule>
    <cfRule type="cellIs" dxfId="93" priority="102" stopIfTrue="1" operator="equal">
      <formula>FALSE</formula>
    </cfRule>
    <cfRule type="expression" dxfId="92" priority="103" stopIfTrue="1">
      <formula>OR(E241=0,E242=0)</formula>
    </cfRule>
    <cfRule type="cellIs" dxfId="91" priority="104" stopIfTrue="1" operator="equal">
      <formula>TRUE</formula>
    </cfRule>
    <cfRule type="containsText" dxfId="90" priority="105" stopIfTrue="1" operator="containsText" text="N/A">
      <formula>NOT(ISERROR(SEARCH("N/A",E240)))</formula>
    </cfRule>
  </conditionalFormatting>
  <conditionalFormatting sqref="E225:O225 Q225">
    <cfRule type="containsErrors" dxfId="89" priority="91" stopIfTrue="1">
      <formula>ISERROR(E225)</formula>
    </cfRule>
    <cfRule type="expression" dxfId="88" priority="92" stopIfTrue="1">
      <formula>OR(E226=0,E227=0)</formula>
    </cfRule>
    <cfRule type="cellIs" dxfId="87" priority="93" stopIfTrue="1" operator="equal">
      <formula>FALSE</formula>
    </cfRule>
    <cfRule type="cellIs" dxfId="86" priority="94" stopIfTrue="1" operator="equal">
      <formula>TRUE</formula>
    </cfRule>
    <cfRule type="containsText" dxfId="85" priority="95" stopIfTrue="1" operator="containsText" text="N/A">
      <formula>NOT(ISERROR(SEARCH("N/A",E225)))</formula>
    </cfRule>
  </conditionalFormatting>
  <conditionalFormatting sqref="M284:O284 Q284">
    <cfRule type="containsErrors" dxfId="84" priority="76" stopIfTrue="1">
      <formula>ISERROR(M284)</formula>
    </cfRule>
    <cfRule type="expression" dxfId="83" priority="77" stopIfTrue="1">
      <formula>OR(M285=0,M286=0)</formula>
    </cfRule>
    <cfRule type="cellIs" dxfId="82" priority="78" stopIfTrue="1" operator="equal">
      <formula>FALSE</formula>
    </cfRule>
    <cfRule type="cellIs" dxfId="81" priority="79" stopIfTrue="1" operator="equal">
      <formula>TRUE</formula>
    </cfRule>
    <cfRule type="containsText" dxfId="80" priority="80" stopIfTrue="1" operator="containsText" text="N/A">
      <formula>NOT(ISERROR(SEARCH("N/A",M284)))</formula>
    </cfRule>
  </conditionalFormatting>
  <conditionalFormatting sqref="M222:O222 Q222">
    <cfRule type="containsErrors" dxfId="79" priority="81" stopIfTrue="1">
      <formula>ISERROR(M222)</formula>
    </cfRule>
    <cfRule type="expression" dxfId="78" priority="82" stopIfTrue="1">
      <formula>OR(M223=0,M224=0)</formula>
    </cfRule>
    <cfRule type="cellIs" dxfId="77" priority="83" stopIfTrue="1" operator="equal">
      <formula>FALSE</formula>
    </cfRule>
    <cfRule type="cellIs" dxfId="76" priority="84" stopIfTrue="1" operator="equal">
      <formula>TRUE</formula>
    </cfRule>
    <cfRule type="containsText" dxfId="75" priority="85" stopIfTrue="1" operator="containsText" text="N/A">
      <formula>NOT(ISERROR(SEARCH("N/A",M222)))</formula>
    </cfRule>
  </conditionalFormatting>
  <conditionalFormatting sqref="M315:O315 Q315">
    <cfRule type="containsErrors" dxfId="74" priority="71" stopIfTrue="1">
      <formula>ISERROR(M315)</formula>
    </cfRule>
    <cfRule type="expression" dxfId="73" priority="72" stopIfTrue="1">
      <formula>OR(M316=0,M317=0)</formula>
    </cfRule>
    <cfRule type="cellIs" dxfId="72" priority="73" stopIfTrue="1" operator="equal">
      <formula>FALSE</formula>
    </cfRule>
    <cfRule type="cellIs" dxfId="71" priority="74" stopIfTrue="1" operator="equal">
      <formula>TRUE</formula>
    </cfRule>
    <cfRule type="containsText" dxfId="70" priority="75" stopIfTrue="1" operator="containsText" text="N/A">
      <formula>NOT(ISERROR(SEARCH("N/A",M315)))</formula>
    </cfRule>
  </conditionalFormatting>
  <conditionalFormatting sqref="E79:O79 Q79">
    <cfRule type="containsErrors" dxfId="69" priority="66" stopIfTrue="1">
      <formula>ISERROR(E79)</formula>
    </cfRule>
    <cfRule type="expression" dxfId="68" priority="67" stopIfTrue="1">
      <formula>OR(E80=0,E81=0)</formula>
    </cfRule>
    <cfRule type="cellIs" dxfId="67" priority="68" stopIfTrue="1" operator="equal">
      <formula>FALSE</formula>
    </cfRule>
    <cfRule type="cellIs" dxfId="66" priority="69" stopIfTrue="1" operator="equal">
      <formula>TRUE</formula>
    </cfRule>
    <cfRule type="containsText" dxfId="65" priority="70" stopIfTrue="1" operator="containsText" text="N/A">
      <formula>NOT(ISERROR(SEARCH("N/A",E79)))</formula>
    </cfRule>
  </conditionalFormatting>
  <conditionalFormatting sqref="Q635:R635">
    <cfRule type="containsErrors" dxfId="64" priority="61" stopIfTrue="1">
      <formula>ISERROR(Q635)</formula>
    </cfRule>
    <cfRule type="cellIs" dxfId="63" priority="62" stopIfTrue="1" operator="equal">
      <formula>FALSE</formula>
    </cfRule>
    <cfRule type="expression" dxfId="62" priority="63" stopIfTrue="1">
      <formula>OR(Q636=0)</formula>
    </cfRule>
    <cfRule type="cellIs" dxfId="61" priority="64" stopIfTrue="1" operator="equal">
      <formula>TRUE</formula>
    </cfRule>
    <cfRule type="containsText" dxfId="60" priority="65" stopIfTrue="1" operator="containsText" text="N/A">
      <formula>NOT(ISERROR(SEARCH("N/A",Q635)))</formula>
    </cfRule>
  </conditionalFormatting>
  <conditionalFormatting sqref="Q597:T597">
    <cfRule type="containsErrors" dxfId="59" priority="56" stopIfTrue="1">
      <formula>ISERROR(Q597)</formula>
    </cfRule>
    <cfRule type="cellIs" dxfId="58" priority="57" stopIfTrue="1" operator="equal">
      <formula>FALSE</formula>
    </cfRule>
    <cfRule type="expression" dxfId="57" priority="58" stopIfTrue="1">
      <formula>OR(Q598=0)</formula>
    </cfRule>
    <cfRule type="cellIs" dxfId="56" priority="59" stopIfTrue="1" operator="equal">
      <formula>TRUE</formula>
    </cfRule>
    <cfRule type="containsText" dxfId="55" priority="60" stopIfTrue="1" operator="containsText" text="N/A">
      <formula>NOT(ISERROR(SEARCH("N/A",Q597)))</formula>
    </cfRule>
  </conditionalFormatting>
  <conditionalFormatting sqref="Q547:T547">
    <cfRule type="containsErrors" dxfId="54" priority="51" stopIfTrue="1">
      <formula>ISERROR(Q547)</formula>
    </cfRule>
    <cfRule type="cellIs" dxfId="53" priority="52" stopIfTrue="1" operator="equal">
      <formula>FALSE</formula>
    </cfRule>
    <cfRule type="expression" dxfId="52" priority="53" stopIfTrue="1">
      <formula>OR(Q548=0)</formula>
    </cfRule>
    <cfRule type="cellIs" dxfId="51" priority="54" stopIfTrue="1" operator="equal">
      <formula>TRUE</formula>
    </cfRule>
    <cfRule type="containsText" dxfId="50" priority="55" stopIfTrue="1" operator="containsText" text="N/A">
      <formula>NOT(ISERROR(SEARCH("N/A",Q547)))</formula>
    </cfRule>
  </conditionalFormatting>
  <conditionalFormatting sqref="Q538:T538">
    <cfRule type="containsErrors" dxfId="49" priority="46" stopIfTrue="1">
      <formula>ISERROR(Q538)</formula>
    </cfRule>
    <cfRule type="cellIs" dxfId="48" priority="47" stopIfTrue="1" operator="equal">
      <formula>FALSE</formula>
    </cfRule>
    <cfRule type="expression" dxfId="47" priority="48" stopIfTrue="1">
      <formula>OR(Q539=0)</formula>
    </cfRule>
    <cfRule type="cellIs" dxfId="46" priority="49" stopIfTrue="1" operator="equal">
      <formula>TRUE</formula>
    </cfRule>
    <cfRule type="containsText" dxfId="45" priority="50" stopIfTrue="1" operator="containsText" text="N/A">
      <formula>NOT(ISERROR(SEARCH("N/A",Q538)))</formula>
    </cfRule>
  </conditionalFormatting>
  <conditionalFormatting sqref="Q488:T488">
    <cfRule type="containsErrors" dxfId="44" priority="41" stopIfTrue="1">
      <formula>ISERROR(Q488)</formula>
    </cfRule>
    <cfRule type="cellIs" dxfId="43" priority="42" stopIfTrue="1" operator="equal">
      <formula>FALSE</formula>
    </cfRule>
    <cfRule type="expression" dxfId="42" priority="43" stopIfTrue="1">
      <formula>OR(Q489=0)</formula>
    </cfRule>
    <cfRule type="cellIs" dxfId="41" priority="44" stopIfTrue="1" operator="equal">
      <formula>TRUE</formula>
    </cfRule>
    <cfRule type="containsText" dxfId="40" priority="45" stopIfTrue="1" operator="containsText" text="N/A">
      <formula>NOT(ISERROR(SEARCH("N/A",Q488)))</formula>
    </cfRule>
  </conditionalFormatting>
  <conditionalFormatting sqref="Q473:T473">
    <cfRule type="containsErrors" dxfId="39" priority="36" stopIfTrue="1">
      <formula>ISERROR(Q473)</formula>
    </cfRule>
    <cfRule type="cellIs" dxfId="38" priority="37" stopIfTrue="1" operator="equal">
      <formula>FALSE</formula>
    </cfRule>
    <cfRule type="expression" dxfId="37" priority="38" stopIfTrue="1">
      <formula>OR(Q474=0)</formula>
    </cfRule>
    <cfRule type="cellIs" dxfId="36" priority="39" stopIfTrue="1" operator="equal">
      <formula>TRUE</formula>
    </cfRule>
    <cfRule type="containsText" dxfId="35" priority="40" stopIfTrue="1" operator="containsText" text="N/A">
      <formula>NOT(ISERROR(SEARCH("N/A",Q473)))</formula>
    </cfRule>
  </conditionalFormatting>
  <conditionalFormatting sqref="Q399:T399">
    <cfRule type="containsErrors" dxfId="34" priority="31" stopIfTrue="1">
      <formula>ISERROR(Q399)</formula>
    </cfRule>
    <cfRule type="cellIs" dxfId="33" priority="32" stopIfTrue="1" operator="equal">
      <formula>FALSE</formula>
    </cfRule>
    <cfRule type="expression" dxfId="32" priority="33" stopIfTrue="1">
      <formula>OR(Q400=0)</formula>
    </cfRule>
    <cfRule type="cellIs" dxfId="31" priority="34" stopIfTrue="1" operator="equal">
      <formula>TRUE</formula>
    </cfRule>
    <cfRule type="containsText" dxfId="30" priority="35" stopIfTrue="1" operator="containsText" text="N/A">
      <formula>NOT(ISERROR(SEARCH("N/A",Q399)))</formula>
    </cfRule>
  </conditionalFormatting>
  <conditionalFormatting sqref="Q615:T615">
    <cfRule type="containsErrors" dxfId="29" priority="26" stopIfTrue="1">
      <formula>ISERROR(Q615)</formula>
    </cfRule>
    <cfRule type="cellIs" dxfId="28" priority="27" stopIfTrue="1" operator="equal">
      <formula>FALSE</formula>
    </cfRule>
    <cfRule type="expression" dxfId="27" priority="28" stopIfTrue="1">
      <formula>OR(Q616=0,Q617=0)</formula>
    </cfRule>
    <cfRule type="cellIs" dxfId="26" priority="29" stopIfTrue="1" operator="equal">
      <formula>TRUE</formula>
    </cfRule>
    <cfRule type="containsText" dxfId="25" priority="30" stopIfTrue="1" operator="containsText" text="N/A">
      <formula>NOT(ISERROR(SEARCH("N/A",Q615)))</formula>
    </cfRule>
  </conditionalFormatting>
  <conditionalFormatting sqref="Q650">
    <cfRule type="containsErrors" dxfId="24" priority="21" stopIfTrue="1">
      <formula>ISERROR(Q650)</formula>
    </cfRule>
    <cfRule type="cellIs" dxfId="23" priority="22" stopIfTrue="1" operator="equal">
      <formula>FALSE</formula>
    </cfRule>
    <cfRule type="expression" dxfId="22" priority="23" stopIfTrue="1">
      <formula>OR(Q651=0,Q652=0)</formula>
    </cfRule>
    <cfRule type="cellIs" dxfId="21" priority="24" stopIfTrue="1" operator="equal">
      <formula>TRUE</formula>
    </cfRule>
    <cfRule type="containsText" dxfId="20" priority="25" stopIfTrue="1" operator="containsText" text="N/A">
      <formula>NOT(ISERROR(SEARCH("N/A",Q650)))</formula>
    </cfRule>
  </conditionalFormatting>
  <conditionalFormatting sqref="R650:T650">
    <cfRule type="containsErrors" dxfId="19" priority="16" stopIfTrue="1">
      <formula>ISERROR(R650)</formula>
    </cfRule>
    <cfRule type="cellIs" dxfId="18" priority="17" stopIfTrue="1" operator="equal">
      <formula>FALSE</formula>
    </cfRule>
    <cfRule type="expression" dxfId="17" priority="18" stopIfTrue="1">
      <formula>OR(R651=0,R652=0)</formula>
    </cfRule>
    <cfRule type="cellIs" dxfId="16" priority="19" stopIfTrue="1" operator="equal">
      <formula>TRUE</formula>
    </cfRule>
    <cfRule type="containsText" dxfId="15" priority="20" stopIfTrue="1" operator="containsText" text="N/A">
      <formula>NOT(ISERROR(SEARCH("N/A",R650)))</formula>
    </cfRule>
  </conditionalFormatting>
  <conditionalFormatting sqref="Q681:T681">
    <cfRule type="containsErrors" dxfId="14" priority="11" stopIfTrue="1">
      <formula>ISERROR(Q681)</formula>
    </cfRule>
    <cfRule type="cellIs" dxfId="13" priority="12" stopIfTrue="1" operator="equal">
      <formula>FALSE</formula>
    </cfRule>
    <cfRule type="expression" dxfId="12" priority="13" stopIfTrue="1">
      <formula>OR(Q682=0,Q683=0)</formula>
    </cfRule>
    <cfRule type="cellIs" dxfId="11" priority="14" stopIfTrue="1" operator="equal">
      <formula>TRUE</formula>
    </cfRule>
    <cfRule type="containsText" dxfId="10" priority="15" stopIfTrue="1" operator="containsText" text="N/A">
      <formula>NOT(ISERROR(SEARCH("N/A",Q681)))</formula>
    </cfRule>
  </conditionalFormatting>
  <conditionalFormatting sqref="Q712">
    <cfRule type="containsErrors" dxfId="9" priority="6" stopIfTrue="1">
      <formula>ISERROR(Q712)</formula>
    </cfRule>
    <cfRule type="cellIs" dxfId="8" priority="7" stopIfTrue="1" operator="equal">
      <formula>FALSE</formula>
    </cfRule>
    <cfRule type="expression" dxfId="7" priority="8" stopIfTrue="1">
      <formula>OR(Q713=0,Q714=0)</formula>
    </cfRule>
    <cfRule type="cellIs" dxfId="6" priority="9" stopIfTrue="1" operator="equal">
      <formula>TRUE</formula>
    </cfRule>
    <cfRule type="containsText" dxfId="5" priority="10" stopIfTrue="1" operator="containsText" text="N/A">
      <formula>NOT(ISERROR(SEARCH("N/A",Q712)))</formula>
    </cfRule>
  </conditionalFormatting>
  <conditionalFormatting sqref="R712:T712">
    <cfRule type="containsErrors" dxfId="4" priority="1" stopIfTrue="1">
      <formula>ISERROR(R712)</formula>
    </cfRule>
    <cfRule type="cellIs" dxfId="3" priority="2" stopIfTrue="1" operator="equal">
      <formula>FALSE</formula>
    </cfRule>
    <cfRule type="expression" dxfId="2" priority="3" stopIfTrue="1">
      <formula>OR(R713=0,R714=0)</formula>
    </cfRule>
    <cfRule type="cellIs" dxfId="1" priority="4" stopIfTrue="1" operator="equal">
      <formula>TRUE</formula>
    </cfRule>
    <cfRule type="containsText" dxfId="0" priority="5" stopIfTrue="1" operator="containsText" text="N/A">
      <formula>NOT(ISERROR(SEARCH("N/A",R712)))</formula>
    </cfRule>
  </conditionalFormatting>
  <pageMargins left="0.70866141732283472" right="0.70866141732283472" top="0.43307086614173229" bottom="0.74803149606299213" header="0.31496062992125984" footer="0.31496062992125984"/>
  <pageSetup paperSize="8" scale="79" fitToHeight="1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121"/>
  <sheetViews>
    <sheetView showGridLines="0" zoomScale="120" zoomScaleNormal="120" workbookViewId="0">
      <selection activeCell="R12" sqref="R12:R17"/>
    </sheetView>
  </sheetViews>
  <sheetFormatPr baseColWidth="10" defaultColWidth="12.5703125" defaultRowHeight="12"/>
  <cols>
    <col min="1" max="1" width="30.7109375" style="90" customWidth="1"/>
    <col min="2" max="2" width="0.5703125" style="90" customWidth="1"/>
    <col min="3" max="5" width="8" style="963" hidden="1" customWidth="1"/>
    <col min="6" max="10" width="8.5703125" style="90" customWidth="1"/>
    <col min="11" max="12" width="8.5703125" style="728" customWidth="1"/>
    <col min="13" max="16" width="8.5703125" style="76" customWidth="1"/>
    <col min="17" max="17" width="0.5703125" style="76" customWidth="1"/>
    <col min="18" max="18" width="8.5703125" style="728" customWidth="1"/>
    <col min="19" max="23" width="8.5703125" style="74" customWidth="1"/>
    <col min="24" max="16384" width="12.5703125" style="74"/>
  </cols>
  <sheetData>
    <row r="1" spans="1:28" ht="12" customHeight="1">
      <c r="A1" s="73" t="s">
        <v>346</v>
      </c>
      <c r="B1" s="73"/>
      <c r="C1" s="962"/>
      <c r="D1" s="962"/>
      <c r="E1" s="962"/>
      <c r="F1" s="73"/>
      <c r="G1" s="73"/>
      <c r="H1" s="73"/>
      <c r="I1" s="73"/>
      <c r="J1" s="73"/>
      <c r="L1" s="729"/>
      <c r="M1" s="73"/>
      <c r="N1" s="73"/>
      <c r="O1" s="73"/>
      <c r="P1" s="73"/>
      <c r="Q1" s="73"/>
      <c r="S1" s="73"/>
      <c r="T1" s="73"/>
      <c r="U1" s="73"/>
      <c r="V1" s="73"/>
      <c r="W1" s="73"/>
    </row>
    <row r="2" spans="1:28" ht="12" customHeight="1">
      <c r="A2" s="75"/>
      <c r="B2" s="75"/>
      <c r="F2" s="75"/>
      <c r="G2" s="75"/>
      <c r="H2" s="75"/>
      <c r="I2" s="75"/>
      <c r="J2" s="75"/>
    </row>
    <row r="3" spans="1:28" ht="12" customHeight="1">
      <c r="A3" s="77" t="str">
        <f>Header!B3</f>
        <v>Norway - TCZ</v>
      </c>
      <c r="B3" s="78"/>
      <c r="C3" s="964"/>
      <c r="D3" s="964"/>
      <c r="E3" s="964"/>
      <c r="F3" s="78"/>
      <c r="G3" s="78"/>
      <c r="H3" s="78"/>
      <c r="I3" s="78"/>
      <c r="J3" s="78"/>
      <c r="K3" s="475"/>
      <c r="L3" s="475"/>
      <c r="M3" s="79"/>
      <c r="N3" s="79"/>
      <c r="O3" s="79"/>
      <c r="P3" s="79"/>
      <c r="Q3" s="79"/>
      <c r="R3" s="475"/>
      <c r="S3" s="430"/>
      <c r="T3" s="430"/>
      <c r="U3" s="430"/>
      <c r="V3" s="430"/>
      <c r="W3" s="430"/>
    </row>
    <row r="4" spans="1:28" ht="12" customHeight="1">
      <c r="A4" s="80" t="s">
        <v>695</v>
      </c>
      <c r="B4" s="78"/>
      <c r="C4" s="1031"/>
      <c r="E4" s="964"/>
      <c r="F4" s="78"/>
      <c r="G4" s="78"/>
      <c r="H4" s="78"/>
      <c r="I4" s="78"/>
      <c r="J4" s="78"/>
      <c r="K4" s="475"/>
      <c r="L4" s="475"/>
      <c r="M4" s="79"/>
      <c r="N4" s="79"/>
      <c r="O4" s="79"/>
      <c r="P4" s="79"/>
      <c r="Q4" s="79"/>
      <c r="R4" s="475"/>
    </row>
    <row r="5" spans="1:28" ht="12" customHeight="1">
      <c r="A5" s="81" t="s">
        <v>694</v>
      </c>
      <c r="B5" s="78"/>
      <c r="C5" s="964"/>
      <c r="D5" s="964"/>
      <c r="E5" s="964"/>
      <c r="F5" s="78"/>
      <c r="G5" s="78"/>
      <c r="H5" s="78"/>
      <c r="I5" s="79"/>
      <c r="J5" s="79"/>
      <c r="K5" s="475"/>
      <c r="L5" s="475"/>
      <c r="M5" s="79"/>
      <c r="N5" s="79"/>
      <c r="O5" s="79"/>
      <c r="P5" s="79"/>
      <c r="Q5" s="79"/>
      <c r="R5" s="475"/>
    </row>
    <row r="6" spans="1:28" ht="12" customHeight="1">
      <c r="A6" s="75"/>
      <c r="B6" s="75"/>
      <c r="F6" s="75"/>
      <c r="G6" s="75"/>
      <c r="H6" s="75"/>
      <c r="I6" s="75"/>
      <c r="J6" s="75"/>
    </row>
    <row r="7" spans="1:28" s="82" customFormat="1" ht="12" customHeight="1">
      <c r="C7" s="965"/>
      <c r="D7" s="966"/>
      <c r="E7" s="966"/>
      <c r="F7" s="1505" t="s">
        <v>555</v>
      </c>
      <c r="G7" s="1506"/>
      <c r="H7" s="1506"/>
      <c r="I7" s="1506"/>
      <c r="J7" s="1507"/>
      <c r="K7" s="1500" t="s">
        <v>345</v>
      </c>
      <c r="L7" s="1501"/>
      <c r="M7" s="1501"/>
      <c r="N7" s="1501"/>
      <c r="O7" s="1501"/>
      <c r="P7" s="1502"/>
      <c r="Q7" s="1004"/>
      <c r="R7" s="1505" t="s">
        <v>89</v>
      </c>
      <c r="S7" s="1506"/>
      <c r="T7" s="1506"/>
      <c r="U7" s="1506"/>
      <c r="V7" s="1506"/>
      <c r="W7" s="1507"/>
    </row>
    <row r="8" spans="1:28" ht="12" customHeight="1">
      <c r="A8" s="74"/>
      <c r="B8" s="74"/>
      <c r="C8" s="967"/>
      <c r="D8" s="967"/>
      <c r="E8" s="967"/>
      <c r="F8" s="74"/>
      <c r="G8" s="74"/>
      <c r="H8" s="74"/>
      <c r="I8" s="74"/>
      <c r="J8" s="74"/>
      <c r="K8" s="207"/>
      <c r="L8" s="207"/>
      <c r="M8" s="83"/>
      <c r="N8" s="83"/>
      <c r="O8" s="83"/>
      <c r="P8" s="83"/>
      <c r="Q8" s="83"/>
      <c r="R8" s="207"/>
    </row>
    <row r="9" spans="1:28" s="89" customFormat="1" ht="12" customHeight="1">
      <c r="A9" s="84" t="s">
        <v>90</v>
      </c>
      <c r="B9" s="75"/>
      <c r="C9" s="968"/>
      <c r="D9" s="968"/>
      <c r="E9" s="968"/>
      <c r="F9" s="85">
        <v>2015</v>
      </c>
      <c r="G9" s="86">
        <v>2016</v>
      </c>
      <c r="H9" s="86">
        <v>2017</v>
      </c>
      <c r="I9" s="86">
        <v>2018</v>
      </c>
      <c r="J9" s="87">
        <v>2019</v>
      </c>
      <c r="K9" s="711">
        <v>2020</v>
      </c>
      <c r="L9" s="711">
        <v>2021</v>
      </c>
      <c r="M9" s="86" t="s">
        <v>498</v>
      </c>
      <c r="N9" s="86">
        <v>2022</v>
      </c>
      <c r="O9" s="86">
        <v>2023</v>
      </c>
      <c r="P9" s="87">
        <v>2024</v>
      </c>
      <c r="Q9" s="88"/>
      <c r="R9" s="931">
        <v>2020</v>
      </c>
      <c r="S9" s="712">
        <v>2021</v>
      </c>
      <c r="T9" s="86" t="s">
        <v>498</v>
      </c>
      <c r="U9" s="86">
        <v>2022</v>
      </c>
      <c r="V9" s="86">
        <v>2023</v>
      </c>
      <c r="W9" s="87">
        <v>2024</v>
      </c>
    </row>
    <row r="10" spans="1:28" ht="12" customHeight="1">
      <c r="A10" s="75"/>
      <c r="B10" s="75"/>
      <c r="F10" s="75"/>
      <c r="G10" s="75"/>
      <c r="H10" s="75"/>
      <c r="I10" s="75"/>
      <c r="J10" s="75"/>
      <c r="K10" s="1408"/>
      <c r="L10" s="1408"/>
      <c r="M10" s="1409"/>
      <c r="N10" s="1410"/>
      <c r="O10" s="1410"/>
      <c r="P10" s="1409"/>
      <c r="R10" s="1408"/>
      <c r="S10" s="90"/>
      <c r="T10" s="90"/>
      <c r="U10" s="90"/>
      <c r="V10" s="90"/>
      <c r="W10" s="90"/>
    </row>
    <row r="11" spans="1:28" ht="15.6" customHeight="1">
      <c r="A11" s="91" t="s">
        <v>91</v>
      </c>
      <c r="B11" s="969"/>
      <c r="C11" s="969"/>
      <c r="D11" s="969"/>
      <c r="E11" s="969"/>
      <c r="F11" s="91"/>
      <c r="G11" s="91"/>
      <c r="H11" s="91"/>
      <c r="I11" s="91"/>
      <c r="J11" s="91"/>
      <c r="K11" s="730"/>
      <c r="L11" s="730"/>
      <c r="M11" s="93"/>
      <c r="N11" s="93"/>
      <c r="O11" s="93"/>
      <c r="P11" s="92"/>
      <c r="Q11" s="92"/>
      <c r="R11" s="730"/>
      <c r="S11" s="93"/>
      <c r="T11" s="93"/>
      <c r="U11" s="94"/>
      <c r="V11" s="94"/>
      <c r="W11" s="94"/>
    </row>
    <row r="12" spans="1:28" ht="12" customHeight="1">
      <c r="A12" s="95" t="s">
        <v>92</v>
      </c>
      <c r="B12" s="102"/>
      <c r="C12" s="970"/>
      <c r="D12" s="970"/>
      <c r="E12" s="970"/>
      <c r="F12" s="98">
        <v>45773.833953245026</v>
      </c>
      <c r="G12" s="99">
        <v>43015</v>
      </c>
      <c r="H12" s="99">
        <v>39342.844554105453</v>
      </c>
      <c r="I12" s="99">
        <v>40544.83299493634</v>
      </c>
      <c r="J12" s="709">
        <v>43849.697251647885</v>
      </c>
      <c r="K12" s="731">
        <v>29367.299152429343</v>
      </c>
      <c r="L12" s="732">
        <v>30662.073514133022</v>
      </c>
      <c r="M12" s="99">
        <f t="shared" ref="M12:M17" si="0">K12+L12</f>
        <v>60029.372666562369</v>
      </c>
      <c r="N12" s="732">
        <v>31158.220569075653</v>
      </c>
      <c r="O12" s="732">
        <v>31758.664559046163</v>
      </c>
      <c r="P12" s="1414">
        <v>32786.352973999943</v>
      </c>
      <c r="Q12" s="97"/>
      <c r="R12" s="731">
        <v>29367.299152429343</v>
      </c>
      <c r="S12" s="99"/>
      <c r="T12" s="99"/>
      <c r="U12" s="100"/>
      <c r="V12" s="100"/>
      <c r="W12" s="101"/>
      <c r="Y12" s="561"/>
      <c r="Z12" s="561"/>
      <c r="AA12" s="561"/>
      <c r="AB12" s="561"/>
    </row>
    <row r="13" spans="1:28" ht="12" customHeight="1">
      <c r="A13" s="102" t="s">
        <v>93</v>
      </c>
      <c r="B13" s="102"/>
      <c r="C13" s="971"/>
      <c r="D13" s="971"/>
      <c r="E13" s="971"/>
      <c r="F13" s="480"/>
      <c r="G13" s="481"/>
      <c r="H13" s="481"/>
      <c r="I13" s="481"/>
      <c r="J13" s="708"/>
      <c r="K13" s="735">
        <v>6790.8955735660857</v>
      </c>
      <c r="L13" s="736">
        <v>6919.7851877775347</v>
      </c>
      <c r="M13" s="104">
        <f t="shared" si="0"/>
        <v>13710.680761343621</v>
      </c>
      <c r="N13" s="736">
        <v>7063.3419148929406</v>
      </c>
      <c r="O13" s="736">
        <v>7217.0978594428288</v>
      </c>
      <c r="P13" s="1415">
        <v>7373.7051981141803</v>
      </c>
      <c r="Q13" s="97"/>
      <c r="R13" s="735">
        <v>6790.8955735660857</v>
      </c>
      <c r="S13" s="104"/>
      <c r="T13" s="104"/>
      <c r="U13" s="105"/>
      <c r="V13" s="105"/>
      <c r="W13" s="106"/>
      <c r="Y13" s="561"/>
      <c r="Z13" s="561"/>
      <c r="AA13" s="561"/>
      <c r="AB13" s="561"/>
    </row>
    <row r="14" spans="1:28" ht="12" customHeight="1">
      <c r="A14" s="102" t="s">
        <v>94</v>
      </c>
      <c r="B14" s="102"/>
      <c r="C14" s="970"/>
      <c r="D14" s="970"/>
      <c r="E14" s="970"/>
      <c r="F14" s="103">
        <v>15257.944651081676</v>
      </c>
      <c r="G14" s="104">
        <v>16318</v>
      </c>
      <c r="H14" s="104">
        <v>14309.041293493039</v>
      </c>
      <c r="I14" s="104">
        <v>15958.944331645447</v>
      </c>
      <c r="J14" s="431">
        <v>16950.437692549298</v>
      </c>
      <c r="K14" s="735">
        <v>13917.997707721102</v>
      </c>
      <c r="L14" s="736">
        <v>14979.946751636522</v>
      </c>
      <c r="M14" s="104">
        <f t="shared" si="0"/>
        <v>28897.944459357626</v>
      </c>
      <c r="N14" s="736">
        <v>15214.773746187231</v>
      </c>
      <c r="O14" s="736">
        <v>15511.593409045105</v>
      </c>
      <c r="P14" s="1415">
        <v>15923.70719408786</v>
      </c>
      <c r="Q14" s="97"/>
      <c r="R14" s="735">
        <v>13917.997707721102</v>
      </c>
      <c r="S14" s="104"/>
      <c r="T14" s="104"/>
      <c r="U14" s="105"/>
      <c r="V14" s="105"/>
      <c r="W14" s="106"/>
      <c r="Y14" s="561"/>
      <c r="Z14" s="561"/>
      <c r="AA14" s="561"/>
      <c r="AB14" s="561"/>
    </row>
    <row r="15" spans="1:28" ht="12" customHeight="1">
      <c r="A15" s="102" t="s">
        <v>95</v>
      </c>
      <c r="B15" s="102"/>
      <c r="C15" s="970"/>
      <c r="D15" s="970"/>
      <c r="E15" s="970"/>
      <c r="F15" s="103">
        <v>2325.27120458333</v>
      </c>
      <c r="G15" s="104">
        <v>4322</v>
      </c>
      <c r="H15" s="104">
        <v>4575.0063160534173</v>
      </c>
      <c r="I15" s="104">
        <v>5194.8639999999996</v>
      </c>
      <c r="J15" s="431">
        <v>4403.4236366653677</v>
      </c>
      <c r="K15" s="735">
        <v>6225.6170002239896</v>
      </c>
      <c r="L15" s="736">
        <v>4823.1427301692547</v>
      </c>
      <c r="M15" s="104">
        <f t="shared" si="0"/>
        <v>11048.759730393245</v>
      </c>
      <c r="N15" s="736">
        <v>4877.3909982534587</v>
      </c>
      <c r="O15" s="736">
        <v>5024.2511255145509</v>
      </c>
      <c r="P15" s="1415">
        <v>4971.7900374644178</v>
      </c>
      <c r="Q15" s="97"/>
      <c r="R15" s="735">
        <v>6225.6170002239896</v>
      </c>
      <c r="S15" s="104"/>
      <c r="T15" s="104"/>
      <c r="U15" s="105"/>
      <c r="V15" s="105"/>
      <c r="W15" s="106"/>
      <c r="Y15" s="561"/>
      <c r="Z15" s="561"/>
      <c r="AA15" s="561"/>
      <c r="AB15" s="561"/>
    </row>
    <row r="16" spans="1:28" ht="12" customHeight="1">
      <c r="A16" s="102" t="s">
        <v>96</v>
      </c>
      <c r="B16" s="102"/>
      <c r="C16" s="970"/>
      <c r="D16" s="970"/>
      <c r="E16" s="970"/>
      <c r="F16" s="103">
        <v>3318.8180148295701</v>
      </c>
      <c r="G16" s="104">
        <v>7131</v>
      </c>
      <c r="H16" s="104">
        <v>7226.2816368689028</v>
      </c>
      <c r="I16" s="104">
        <v>7241.5959999999995</v>
      </c>
      <c r="J16" s="431">
        <v>5396.7025723860315</v>
      </c>
      <c r="K16" s="735">
        <v>6019.7593397948767</v>
      </c>
      <c r="L16" s="736">
        <v>5370.0550781564662</v>
      </c>
      <c r="M16" s="104">
        <f t="shared" si="0"/>
        <v>11389.814417951344</v>
      </c>
      <c r="N16" s="736">
        <v>5197.9467251940659</v>
      </c>
      <c r="O16" s="736">
        <v>5123.8059177360155</v>
      </c>
      <c r="P16" s="1415">
        <v>4883.5761913690239</v>
      </c>
      <c r="Q16" s="97"/>
      <c r="R16" s="735">
        <v>6019.7593397948767</v>
      </c>
      <c r="S16" s="104"/>
      <c r="T16" s="104"/>
      <c r="U16" s="105"/>
      <c r="V16" s="105"/>
      <c r="W16" s="106"/>
      <c r="Y16" s="561"/>
      <c r="Z16" s="561"/>
      <c r="AA16" s="561"/>
      <c r="AB16" s="561"/>
    </row>
    <row r="17" spans="1:28" ht="12" customHeight="1">
      <c r="A17" s="102" t="s">
        <v>97</v>
      </c>
      <c r="B17" s="102"/>
      <c r="C17" s="970"/>
      <c r="D17" s="970"/>
      <c r="E17" s="970"/>
      <c r="F17" s="103"/>
      <c r="G17" s="104"/>
      <c r="H17" s="104"/>
      <c r="I17" s="104"/>
      <c r="J17" s="431"/>
      <c r="K17" s="735">
        <v>0</v>
      </c>
      <c r="L17" s="736">
        <v>0</v>
      </c>
      <c r="M17" s="104">
        <f t="shared" si="0"/>
        <v>0</v>
      </c>
      <c r="N17" s="736">
        <v>0</v>
      </c>
      <c r="O17" s="736">
        <v>0</v>
      </c>
      <c r="P17" s="1415">
        <v>0</v>
      </c>
      <c r="Q17" s="97"/>
      <c r="R17" s="735">
        <v>0</v>
      </c>
      <c r="S17" s="104"/>
      <c r="T17" s="104"/>
      <c r="U17" s="105"/>
      <c r="V17" s="105"/>
      <c r="W17" s="106"/>
      <c r="Y17" s="561"/>
      <c r="Z17" s="561"/>
      <c r="AA17" s="561"/>
      <c r="AB17" s="561"/>
    </row>
    <row r="18" spans="1:28" ht="12" customHeight="1">
      <c r="A18" s="108" t="s">
        <v>98</v>
      </c>
      <c r="B18" s="432"/>
      <c r="C18" s="972"/>
      <c r="D18" s="972"/>
      <c r="E18" s="972"/>
      <c r="F18" s="109">
        <f t="shared" ref="F18:R18" si="1">F12+SUM(F14:F17)</f>
        <v>66675.867823739594</v>
      </c>
      <c r="G18" s="567">
        <f t="shared" si="1"/>
        <v>70786</v>
      </c>
      <c r="H18" s="567">
        <f t="shared" si="1"/>
        <v>65453.17380052081</v>
      </c>
      <c r="I18" s="567">
        <f t="shared" si="1"/>
        <v>68940.237326581788</v>
      </c>
      <c r="J18" s="219">
        <f t="shared" si="1"/>
        <v>70600.261153248575</v>
      </c>
      <c r="K18" s="737">
        <f t="shared" si="1"/>
        <v>55530.673200169316</v>
      </c>
      <c r="L18" s="738">
        <f t="shared" si="1"/>
        <v>55835.218074095268</v>
      </c>
      <c r="M18" s="582">
        <f t="shared" si="1"/>
        <v>111365.89127426459</v>
      </c>
      <c r="N18" s="738">
        <f t="shared" si="1"/>
        <v>56448.33203871041</v>
      </c>
      <c r="O18" s="738">
        <f t="shared" si="1"/>
        <v>57418.315011341838</v>
      </c>
      <c r="P18" s="1423">
        <f t="shared" si="1"/>
        <v>58565.426396921241</v>
      </c>
      <c r="Q18" s="97"/>
      <c r="R18" s="737">
        <f t="shared" si="1"/>
        <v>55530.673200169316</v>
      </c>
      <c r="S18" s="567"/>
      <c r="T18" s="567"/>
      <c r="U18" s="131"/>
      <c r="V18" s="433"/>
      <c r="W18" s="434"/>
      <c r="Y18" s="561"/>
      <c r="Z18" s="561"/>
      <c r="AA18" s="561"/>
      <c r="AB18" s="561"/>
    </row>
    <row r="19" spans="1:28" ht="12" customHeight="1">
      <c r="A19" s="113" t="s">
        <v>99</v>
      </c>
      <c r="B19" s="114"/>
      <c r="C19" s="973"/>
      <c r="D19" s="973"/>
      <c r="E19" s="973"/>
      <c r="F19" s="115"/>
      <c r="G19" s="116">
        <f>G18/F18-1</f>
        <v>6.1643474774497165E-2</v>
      </c>
      <c r="H19" s="116">
        <f t="shared" ref="H19:J19" si="2">H18/G18-1</f>
        <v>-7.5337301153889036E-2</v>
      </c>
      <c r="I19" s="116">
        <f t="shared" si="2"/>
        <v>5.3275698084379597E-2</v>
      </c>
      <c r="J19" s="117">
        <f t="shared" si="2"/>
        <v>2.4079171918178544E-2</v>
      </c>
      <c r="K19" s="739">
        <f>K18/J18-1</f>
        <v>-0.21344946473170168</v>
      </c>
      <c r="L19" s="740">
        <f>L18/K18-1</f>
        <v>5.484264035989117E-3</v>
      </c>
      <c r="M19" s="716"/>
      <c r="N19" s="584">
        <f>N18/L18-1</f>
        <v>1.0980774961808493E-2</v>
      </c>
      <c r="O19" s="584">
        <f t="shared" ref="O19" si="3">O18/N18-1</f>
        <v>1.7183554191933403E-2</v>
      </c>
      <c r="P19" s="583">
        <f>P18/O18-1</f>
        <v>1.9978144349112492E-2</v>
      </c>
      <c r="Q19" s="97"/>
      <c r="R19" s="739">
        <f>+R18/J18-1</f>
        <v>-0.21344946473170168</v>
      </c>
      <c r="S19" s="116"/>
      <c r="T19" s="116"/>
      <c r="U19" s="116"/>
      <c r="V19" s="116"/>
      <c r="W19" s="117"/>
    </row>
    <row r="20" spans="1:28" ht="12" customHeight="1">
      <c r="A20" s="114"/>
      <c r="B20" s="114"/>
      <c r="C20" s="974"/>
      <c r="D20" s="974"/>
      <c r="E20" s="974"/>
      <c r="F20" s="114"/>
      <c r="G20" s="114"/>
      <c r="H20" s="114"/>
      <c r="I20" s="114"/>
      <c r="J20" s="114"/>
      <c r="K20" s="822"/>
      <c r="L20" s="822"/>
      <c r="M20" s="119"/>
      <c r="N20" s="585"/>
      <c r="O20" s="585"/>
      <c r="P20" s="585"/>
      <c r="Q20" s="97"/>
      <c r="R20" s="822"/>
      <c r="S20" s="114"/>
      <c r="T20" s="114"/>
      <c r="U20" s="114"/>
      <c r="V20" s="114"/>
      <c r="W20" s="114"/>
    </row>
    <row r="21" spans="1:28" ht="15.6" customHeight="1">
      <c r="A21" s="91" t="s">
        <v>100</v>
      </c>
      <c r="B21" s="91"/>
      <c r="C21" s="969"/>
      <c r="D21" s="969"/>
      <c r="E21" s="969"/>
      <c r="F21" s="91"/>
      <c r="G21" s="91"/>
      <c r="H21" s="91"/>
      <c r="I21" s="91"/>
      <c r="J21" s="91"/>
      <c r="K21" s="742"/>
      <c r="L21" s="742"/>
      <c r="M21" s="93"/>
      <c r="N21" s="586"/>
      <c r="O21" s="586"/>
      <c r="P21" s="587"/>
      <c r="Q21" s="97"/>
      <c r="R21" s="742"/>
      <c r="S21" s="93"/>
      <c r="T21" s="93"/>
      <c r="U21" s="94"/>
      <c r="V21" s="94"/>
      <c r="W21" s="94"/>
    </row>
    <row r="22" spans="1:28" ht="12" customHeight="1">
      <c r="A22" s="96" t="s">
        <v>101</v>
      </c>
      <c r="B22" s="102"/>
      <c r="C22" s="970"/>
      <c r="D22" s="970"/>
      <c r="E22" s="970"/>
      <c r="F22" s="98">
        <v>34151.330060612112</v>
      </c>
      <c r="G22" s="99">
        <v>36287.889034300671</v>
      </c>
      <c r="H22" s="99">
        <v>33425.829053987203</v>
      </c>
      <c r="I22" s="99">
        <v>35205.620788892222</v>
      </c>
      <c r="J22" s="709">
        <v>36075.514939693297</v>
      </c>
      <c r="K22" s="812">
        <v>28344.544768753658</v>
      </c>
      <c r="L22" s="652">
        <v>28486.702659569022</v>
      </c>
      <c r="M22" s="564">
        <f t="shared" ref="M22:M30" si="4">K22+L22</f>
        <v>56831.247428322677</v>
      </c>
      <c r="N22" s="636">
        <v>28792.090807361292</v>
      </c>
      <c r="O22" s="636">
        <v>29284.478526765699</v>
      </c>
      <c r="P22" s="637">
        <v>29869.509364428541</v>
      </c>
      <c r="Q22" s="97"/>
      <c r="R22" s="812">
        <v>28344.544768753658</v>
      </c>
      <c r="S22" s="564"/>
      <c r="T22" s="564"/>
      <c r="U22" s="100"/>
      <c r="V22" s="123"/>
      <c r="W22" s="124"/>
      <c r="Y22" s="561"/>
      <c r="Z22" s="561"/>
      <c r="AA22" s="561"/>
      <c r="AB22" s="561"/>
    </row>
    <row r="23" spans="1:28" ht="12" customHeight="1">
      <c r="A23" s="120" t="s">
        <v>102</v>
      </c>
      <c r="B23" s="102"/>
      <c r="C23" s="970"/>
      <c r="D23" s="970"/>
      <c r="E23" s="970"/>
      <c r="F23" s="103">
        <v>1570.8547849708507</v>
      </c>
      <c r="G23" s="104">
        <v>1669.1298413518007</v>
      </c>
      <c r="H23" s="104">
        <v>1537.4839989506509</v>
      </c>
      <c r="I23" s="104">
        <v>1619.3488738490844</v>
      </c>
      <c r="J23" s="431">
        <v>1659.3612946473017</v>
      </c>
      <c r="K23" s="747">
        <v>1303.7607524741638</v>
      </c>
      <c r="L23" s="748">
        <v>1310.2995725614737</v>
      </c>
      <c r="M23" s="563">
        <f t="shared" si="4"/>
        <v>2614.0603250356376</v>
      </c>
      <c r="N23" s="632">
        <v>1324.3464759289695</v>
      </c>
      <c r="O23" s="632">
        <v>1346.9947769970254</v>
      </c>
      <c r="P23" s="633">
        <v>1373.9043728771021</v>
      </c>
      <c r="Q23" s="97"/>
      <c r="R23" s="747">
        <v>1303.7607524741638</v>
      </c>
      <c r="S23" s="563"/>
      <c r="T23" s="563"/>
      <c r="U23" s="105"/>
      <c r="V23" s="127"/>
      <c r="W23" s="128"/>
      <c r="Y23" s="561"/>
      <c r="Z23" s="561"/>
      <c r="AA23" s="561"/>
      <c r="AB23" s="561"/>
    </row>
    <row r="24" spans="1:28" ht="12" customHeight="1">
      <c r="A24" s="120" t="s">
        <v>103</v>
      </c>
      <c r="B24" s="102"/>
      <c r="C24" s="970"/>
      <c r="D24" s="970"/>
      <c r="E24" s="970"/>
      <c r="F24" s="103">
        <v>17643.207658818817</v>
      </c>
      <c r="G24" s="104">
        <v>18746.993472759219</v>
      </c>
      <c r="H24" s="104">
        <v>17268.40044358452</v>
      </c>
      <c r="I24" s="104">
        <v>18187.87371483479</v>
      </c>
      <c r="J24" s="431">
        <v>18637.277094338191</v>
      </c>
      <c r="K24" s="747">
        <v>14643.31516407253</v>
      </c>
      <c r="L24" s="748">
        <v>14716.756555185078</v>
      </c>
      <c r="M24" s="563">
        <f t="shared" si="4"/>
        <v>29360.071719257608</v>
      </c>
      <c r="N24" s="632">
        <v>14874.525710836655</v>
      </c>
      <c r="O24" s="632">
        <v>15128.902297830071</v>
      </c>
      <c r="P24" s="633">
        <v>15431.140030222306</v>
      </c>
      <c r="Q24" s="97"/>
      <c r="R24" s="747">
        <v>14643.31516407253</v>
      </c>
      <c r="S24" s="563"/>
      <c r="T24" s="563"/>
      <c r="U24" s="105"/>
      <c r="V24" s="127"/>
      <c r="W24" s="128"/>
      <c r="Y24" s="561"/>
      <c r="Z24" s="561"/>
      <c r="AA24" s="561"/>
      <c r="AB24" s="561"/>
    </row>
    <row r="25" spans="1:28" ht="12" customHeight="1">
      <c r="A25" s="120" t="s">
        <v>104</v>
      </c>
      <c r="B25" s="102"/>
      <c r="C25" s="970"/>
      <c r="D25" s="970"/>
      <c r="E25" s="970"/>
      <c r="F25" s="103">
        <v>8992.7888188180568</v>
      </c>
      <c r="G25" s="104">
        <v>9555.3913182004053</v>
      </c>
      <c r="H25" s="104">
        <v>8801.7486066553574</v>
      </c>
      <c r="I25" s="104">
        <v>9270.4065237869108</v>
      </c>
      <c r="J25" s="431">
        <v>9499.4685948393471</v>
      </c>
      <c r="K25" s="747">
        <v>7463.7358140530096</v>
      </c>
      <c r="L25" s="748">
        <v>7501.1690820622571</v>
      </c>
      <c r="M25" s="563">
        <f t="shared" si="4"/>
        <v>14964.904896115266</v>
      </c>
      <c r="N25" s="632">
        <v>7581.5844309225131</v>
      </c>
      <c r="O25" s="632">
        <v>7711.2408387322394</v>
      </c>
      <c r="P25" s="633">
        <v>7865.2921967982584</v>
      </c>
      <c r="Q25" s="97"/>
      <c r="R25" s="747">
        <v>7463.7358140530096</v>
      </c>
      <c r="S25" s="563"/>
      <c r="T25" s="563"/>
      <c r="U25" s="105"/>
      <c r="V25" s="127"/>
      <c r="W25" s="128"/>
      <c r="Y25" s="561"/>
      <c r="Z25" s="561"/>
      <c r="AA25" s="561"/>
      <c r="AB25" s="561"/>
    </row>
    <row r="26" spans="1:28" ht="12" customHeight="1">
      <c r="A26" s="120" t="s">
        <v>105</v>
      </c>
      <c r="B26" s="102"/>
      <c r="C26" s="970"/>
      <c r="D26" s="970"/>
      <c r="E26" s="970"/>
      <c r="F26" s="103">
        <v>10.338109463279517</v>
      </c>
      <c r="G26" s="104">
        <v>10.984877261357733</v>
      </c>
      <c r="H26" s="104">
        <v>10.118489647333956</v>
      </c>
      <c r="I26" s="104">
        <v>10.657258759536388</v>
      </c>
      <c r="J26" s="431">
        <v>10.920588502081909</v>
      </c>
      <c r="K26" s="747">
        <v>8.5803102247008063</v>
      </c>
      <c r="L26" s="748">
        <v>8.623343507261394</v>
      </c>
      <c r="M26" s="563">
        <f t="shared" si="4"/>
        <v>17.203653731962198</v>
      </c>
      <c r="N26" s="632">
        <v>8.7157889872781702</v>
      </c>
      <c r="O26" s="632">
        <v>8.8648419855813962</v>
      </c>
      <c r="P26" s="633">
        <v>9.0419394171724434</v>
      </c>
      <c r="Q26" s="97"/>
      <c r="R26" s="747">
        <v>8.5803102247008063</v>
      </c>
      <c r="S26" s="563"/>
      <c r="T26" s="563"/>
      <c r="U26" s="105"/>
      <c r="V26" s="127"/>
      <c r="W26" s="128"/>
      <c r="Y26" s="561"/>
      <c r="Z26" s="561"/>
      <c r="AA26" s="561"/>
      <c r="AB26" s="561"/>
    </row>
    <row r="27" spans="1:28" ht="12" customHeight="1">
      <c r="A27" s="120" t="s">
        <v>106</v>
      </c>
      <c r="B27" s="102"/>
      <c r="C27" s="970"/>
      <c r="D27" s="970"/>
      <c r="E27" s="970"/>
      <c r="F27" s="103">
        <v>2691.2432021320869</v>
      </c>
      <c r="G27" s="104">
        <v>2859.6114561265431</v>
      </c>
      <c r="H27" s="104">
        <v>2634.071207695737</v>
      </c>
      <c r="I27" s="104">
        <v>2774.324966459244</v>
      </c>
      <c r="J27" s="431">
        <v>2842.8756412283633</v>
      </c>
      <c r="K27" s="747">
        <v>2233.6483905912519</v>
      </c>
      <c r="L27" s="748">
        <v>2244.8509252101753</v>
      </c>
      <c r="M27" s="563">
        <f t="shared" si="4"/>
        <v>4478.4993158014277</v>
      </c>
      <c r="N27" s="632">
        <v>2268.9165699537029</v>
      </c>
      <c r="O27" s="632">
        <v>2307.718429216829</v>
      </c>
      <c r="P27" s="633">
        <v>2353.8208873671674</v>
      </c>
      <c r="Q27" s="97"/>
      <c r="R27" s="747">
        <v>2233.6483905912519</v>
      </c>
      <c r="S27" s="563"/>
      <c r="T27" s="563"/>
      <c r="U27" s="105"/>
      <c r="V27" s="127"/>
      <c r="W27" s="128"/>
      <c r="Y27" s="561"/>
      <c r="Z27" s="561"/>
      <c r="AA27" s="561"/>
      <c r="AB27" s="561"/>
    </row>
    <row r="28" spans="1:28" ht="12" customHeight="1">
      <c r="A28" s="120" t="s">
        <v>107</v>
      </c>
      <c r="B28" s="102"/>
      <c r="C28" s="970"/>
      <c r="D28" s="970"/>
      <c r="E28" s="970"/>
      <c r="F28" s="103">
        <v>1354.58518892441</v>
      </c>
      <c r="G28" s="104">
        <v>1421</v>
      </c>
      <c r="H28" s="104">
        <v>1527.6120000000001</v>
      </c>
      <c r="I28" s="104">
        <v>1619.1369999999999</v>
      </c>
      <c r="J28" s="431">
        <v>1602.8430000000001</v>
      </c>
      <c r="K28" s="747">
        <v>1373.606</v>
      </c>
      <c r="L28" s="748">
        <v>1403.8253320000001</v>
      </c>
      <c r="M28" s="563">
        <f t="shared" si="4"/>
        <v>2777.4313320000001</v>
      </c>
      <c r="N28" s="632">
        <v>1431.9018386400001</v>
      </c>
      <c r="O28" s="632">
        <v>1460.5398754128</v>
      </c>
      <c r="P28" s="633">
        <v>1489.7506729210561</v>
      </c>
      <c r="Q28" s="97"/>
      <c r="R28" s="747">
        <v>1373.606</v>
      </c>
      <c r="S28" s="563"/>
      <c r="T28" s="563"/>
      <c r="U28" s="105"/>
      <c r="V28" s="127"/>
      <c r="W28" s="128"/>
      <c r="Y28" s="561"/>
      <c r="Z28" s="561"/>
      <c r="AA28" s="561"/>
      <c r="AB28" s="561"/>
    </row>
    <row r="29" spans="1:28" ht="12" customHeight="1">
      <c r="A29" s="120" t="s">
        <v>108</v>
      </c>
      <c r="B29" s="102"/>
      <c r="C29" s="970"/>
      <c r="D29" s="970"/>
      <c r="E29" s="970"/>
      <c r="F29" s="103">
        <v>261.52</v>
      </c>
      <c r="G29" s="104">
        <v>235</v>
      </c>
      <c r="H29" s="104">
        <v>247.91</v>
      </c>
      <c r="I29" s="104">
        <v>252.8682</v>
      </c>
      <c r="J29" s="431">
        <v>272</v>
      </c>
      <c r="K29" s="747">
        <v>159.482</v>
      </c>
      <c r="L29" s="748">
        <v>162.99060399999999</v>
      </c>
      <c r="M29" s="563">
        <f t="shared" si="4"/>
        <v>322.47260399999999</v>
      </c>
      <c r="N29" s="632">
        <v>166.25041607999998</v>
      </c>
      <c r="O29" s="632">
        <v>169.57542440159997</v>
      </c>
      <c r="P29" s="633">
        <v>172.96693288963198</v>
      </c>
      <c r="Q29" s="97"/>
      <c r="R29" s="747">
        <v>159.482</v>
      </c>
      <c r="S29" s="563"/>
      <c r="T29" s="563"/>
      <c r="U29" s="105"/>
      <c r="V29" s="127"/>
      <c r="W29" s="128"/>
      <c r="Y29" s="561"/>
      <c r="Z29" s="561"/>
      <c r="AA29" s="561"/>
      <c r="AB29" s="561"/>
    </row>
    <row r="30" spans="1:28" ht="12" customHeight="1">
      <c r="A30" s="120" t="s">
        <v>109</v>
      </c>
      <c r="B30" s="102"/>
      <c r="C30" s="970"/>
      <c r="D30" s="970"/>
      <c r="E30" s="970"/>
      <c r="F30" s="103"/>
      <c r="G30" s="104"/>
      <c r="H30" s="104"/>
      <c r="I30" s="104"/>
      <c r="J30" s="431"/>
      <c r="K30" s="747">
        <v>0</v>
      </c>
      <c r="L30" s="748">
        <v>0</v>
      </c>
      <c r="M30" s="563">
        <f t="shared" si="4"/>
        <v>0</v>
      </c>
      <c r="N30" s="632">
        <v>0</v>
      </c>
      <c r="O30" s="632">
        <v>0</v>
      </c>
      <c r="P30" s="633">
        <v>0</v>
      </c>
      <c r="Q30" s="97"/>
      <c r="R30" s="747">
        <v>0</v>
      </c>
      <c r="S30" s="563"/>
      <c r="T30" s="563"/>
      <c r="U30" s="105"/>
      <c r="V30" s="127"/>
      <c r="W30" s="128"/>
      <c r="Y30" s="561"/>
      <c r="Z30" s="561"/>
      <c r="AA30" s="561"/>
      <c r="AB30" s="561"/>
    </row>
    <row r="31" spans="1:28" s="112" customFormat="1" ht="12" customHeight="1">
      <c r="A31" s="130" t="s">
        <v>110</v>
      </c>
      <c r="B31" s="108"/>
      <c r="C31" s="989"/>
      <c r="D31" s="989"/>
      <c r="E31" s="989"/>
      <c r="F31" s="435">
        <f>SUM(F22:F30)</f>
        <v>66675.867823739623</v>
      </c>
      <c r="G31" s="436">
        <f t="shared" ref="G31:I31" si="5">SUM(G22:G30)</f>
        <v>70786</v>
      </c>
      <c r="H31" s="436">
        <f t="shared" si="5"/>
        <v>65453.17380052081</v>
      </c>
      <c r="I31" s="436">
        <f t="shared" si="5"/>
        <v>68940.237326581773</v>
      </c>
      <c r="J31" s="1030">
        <f>SUM(J22:J30)</f>
        <v>70600.261153248575</v>
      </c>
      <c r="K31" s="737">
        <f t="shared" ref="K31:R31" si="6">SUM(K22:K30)</f>
        <v>55530.673200169324</v>
      </c>
      <c r="L31" s="738">
        <f t="shared" si="6"/>
        <v>55835.218074095268</v>
      </c>
      <c r="M31" s="582">
        <f t="shared" si="6"/>
        <v>111365.89127426459</v>
      </c>
      <c r="N31" s="582">
        <f t="shared" si="6"/>
        <v>56448.33203871041</v>
      </c>
      <c r="O31" s="582">
        <f t="shared" si="6"/>
        <v>57418.315011341838</v>
      </c>
      <c r="P31" s="581">
        <f t="shared" si="6"/>
        <v>58565.426396921233</v>
      </c>
      <c r="Q31" s="97"/>
      <c r="R31" s="737">
        <f t="shared" si="6"/>
        <v>55530.673200169324</v>
      </c>
      <c r="S31" s="567"/>
      <c r="T31" s="567"/>
      <c r="U31" s="131"/>
      <c r="V31" s="111"/>
      <c r="W31" s="132"/>
      <c r="Y31" s="561"/>
      <c r="Z31" s="561"/>
      <c r="AA31" s="561"/>
      <c r="AB31" s="561"/>
    </row>
    <row r="32" spans="1:28" ht="12" customHeight="1">
      <c r="A32" s="113" t="s">
        <v>99</v>
      </c>
      <c r="B32" s="529"/>
      <c r="C32" s="973"/>
      <c r="D32" s="973"/>
      <c r="E32" s="973"/>
      <c r="F32" s="115"/>
      <c r="G32" s="116">
        <f t="shared" ref="G32:J32" si="7">+G31/F31-1</f>
        <v>6.164347477449672E-2</v>
      </c>
      <c r="H32" s="116">
        <f t="shared" si="7"/>
        <v>-7.5337301153889036E-2</v>
      </c>
      <c r="I32" s="116">
        <f t="shared" si="7"/>
        <v>5.3275698084379375E-2</v>
      </c>
      <c r="J32" s="117">
        <f t="shared" si="7"/>
        <v>2.4079171918178766E-2</v>
      </c>
      <c r="K32" s="739">
        <f t="shared" ref="K32" si="8">K31/J31-1</f>
        <v>-0.21344946473170157</v>
      </c>
      <c r="L32" s="740">
        <f>L31/K31-1</f>
        <v>5.484264035988895E-3</v>
      </c>
      <c r="M32" s="716"/>
      <c r="N32" s="584">
        <f>N31/L31-1</f>
        <v>1.0980774961808493E-2</v>
      </c>
      <c r="O32" s="584">
        <f t="shared" ref="O32:P32" si="9">O31/N31-1</f>
        <v>1.7183554191933403E-2</v>
      </c>
      <c r="P32" s="583">
        <f t="shared" si="9"/>
        <v>1.9978144349112492E-2</v>
      </c>
      <c r="Q32" s="97"/>
      <c r="R32" s="739">
        <f>+R31/J31-1</f>
        <v>-0.21344946473170157</v>
      </c>
      <c r="S32" s="116"/>
      <c r="T32" s="116"/>
      <c r="U32" s="116"/>
      <c r="V32" s="204"/>
      <c r="W32" s="205"/>
    </row>
    <row r="33" spans="1:28" ht="12" customHeight="1">
      <c r="A33" s="114"/>
      <c r="B33" s="133"/>
      <c r="C33" s="973"/>
      <c r="D33" s="973"/>
      <c r="E33" s="973"/>
      <c r="F33" s="133"/>
      <c r="G33" s="133"/>
      <c r="H33" s="133"/>
      <c r="I33" s="133"/>
      <c r="J33" s="133"/>
      <c r="K33" s="749"/>
      <c r="L33" s="749"/>
      <c r="M33" s="133"/>
      <c r="N33" s="592"/>
      <c r="O33" s="592"/>
      <c r="P33" s="592"/>
      <c r="Q33" s="97"/>
      <c r="R33" s="749"/>
      <c r="S33" s="133"/>
      <c r="T33" s="133"/>
      <c r="U33" s="119"/>
      <c r="V33" s="119"/>
      <c r="W33" s="119"/>
    </row>
    <row r="34" spans="1:28" ht="15.6" customHeight="1">
      <c r="A34" s="91" t="s">
        <v>111</v>
      </c>
      <c r="B34" s="91"/>
      <c r="C34" s="969"/>
      <c r="D34" s="969"/>
      <c r="E34" s="969"/>
      <c r="F34" s="91"/>
      <c r="G34" s="91"/>
      <c r="H34" s="91"/>
      <c r="I34" s="91"/>
      <c r="J34" s="91"/>
      <c r="K34" s="742"/>
      <c r="L34" s="742"/>
      <c r="M34" s="93"/>
      <c r="N34" s="586"/>
      <c r="O34" s="586"/>
      <c r="P34" s="587"/>
      <c r="Q34" s="97"/>
      <c r="R34" s="742"/>
      <c r="S34" s="93"/>
      <c r="T34" s="93"/>
      <c r="U34" s="93"/>
      <c r="V34" s="93"/>
      <c r="W34" s="93"/>
    </row>
    <row r="35" spans="1:28" ht="12" customHeight="1">
      <c r="A35" s="91" t="s">
        <v>112</v>
      </c>
      <c r="B35" s="91"/>
      <c r="C35" s="969"/>
      <c r="D35" s="969"/>
      <c r="E35" s="969"/>
      <c r="F35" s="91"/>
      <c r="G35" s="91"/>
      <c r="H35" s="91"/>
      <c r="I35" s="91"/>
      <c r="J35" s="91"/>
      <c r="K35" s="742"/>
      <c r="L35" s="742"/>
      <c r="M35" s="93"/>
      <c r="N35" s="586"/>
      <c r="O35" s="586"/>
      <c r="P35" s="586"/>
      <c r="Q35" s="97"/>
      <c r="R35" s="742"/>
      <c r="S35" s="93"/>
      <c r="T35" s="93"/>
      <c r="U35" s="93"/>
      <c r="V35" s="93"/>
      <c r="W35" s="93"/>
    </row>
    <row r="36" spans="1:28" s="83" customFormat="1" ht="12" customHeight="1">
      <c r="A36" s="134" t="s">
        <v>113</v>
      </c>
      <c r="B36" s="959"/>
      <c r="C36" s="971"/>
      <c r="D36" s="971"/>
      <c r="E36" s="971"/>
      <c r="F36" s="121">
        <v>43668.658089862765</v>
      </c>
      <c r="G36" s="564">
        <v>93832</v>
      </c>
      <c r="H36" s="564">
        <v>95079.223684210519</v>
      </c>
      <c r="I36" s="564">
        <v>95284.15789473684</v>
      </c>
      <c r="J36" s="707">
        <v>71009.24437350042</v>
      </c>
      <c r="K36" s="731">
        <f>K16/0.0585</f>
        <v>102901.86905632267</v>
      </c>
      <c r="L36" s="732">
        <f>L16/0.0585</f>
        <v>91795.81330181993</v>
      </c>
      <c r="M36" s="504"/>
      <c r="N36" s="652">
        <f>N16/0.0585</f>
        <v>88853.790174257534</v>
      </c>
      <c r="O36" s="652">
        <f>O16/0.0585</f>
        <v>87586.425944205388</v>
      </c>
      <c r="P36" s="1417">
        <f>P16/0.0585</f>
        <v>83479.934895196988</v>
      </c>
      <c r="Q36" s="97"/>
      <c r="R36" s="812">
        <f>R16/0.0585</f>
        <v>102901.86905632267</v>
      </c>
      <c r="S36" s="564"/>
      <c r="T36" s="564"/>
      <c r="U36" s="564"/>
      <c r="V36" s="135"/>
      <c r="W36" s="136"/>
      <c r="X36" s="74"/>
      <c r="Y36" s="561"/>
      <c r="Z36" s="561"/>
      <c r="AA36" s="561"/>
      <c r="AB36" s="561"/>
    </row>
    <row r="37" spans="1:28" s="83" customFormat="1" ht="12" customHeight="1">
      <c r="A37" s="137" t="s">
        <v>114</v>
      </c>
      <c r="B37" s="959"/>
      <c r="C37" s="971"/>
      <c r="D37" s="971"/>
      <c r="E37" s="971"/>
      <c r="F37" s="125"/>
      <c r="G37" s="563"/>
      <c r="H37" s="563"/>
      <c r="I37" s="563"/>
      <c r="J37" s="706"/>
      <c r="K37" s="747">
        <v>0</v>
      </c>
      <c r="L37" s="748">
        <v>0</v>
      </c>
      <c r="M37" s="720"/>
      <c r="N37" s="632">
        <v>0</v>
      </c>
      <c r="O37" s="632">
        <v>0</v>
      </c>
      <c r="P37" s="633">
        <v>0</v>
      </c>
      <c r="Q37" s="97"/>
      <c r="R37" s="747">
        <v>0</v>
      </c>
      <c r="S37" s="563"/>
      <c r="T37" s="563"/>
      <c r="U37" s="563"/>
      <c r="V37" s="127"/>
      <c r="W37" s="128"/>
      <c r="X37" s="74"/>
      <c r="Y37" s="561"/>
      <c r="Z37" s="561"/>
      <c r="AA37" s="561"/>
      <c r="AB37" s="561"/>
    </row>
    <row r="38" spans="1:28" s="83" customFormat="1" ht="12" customHeight="1">
      <c r="A38" s="137" t="s">
        <v>115</v>
      </c>
      <c r="B38" s="959"/>
      <c r="C38" s="971"/>
      <c r="D38" s="971"/>
      <c r="E38" s="971"/>
      <c r="F38" s="125"/>
      <c r="G38" s="563"/>
      <c r="H38" s="563"/>
      <c r="I38" s="563"/>
      <c r="J38" s="706"/>
      <c r="K38" s="747">
        <v>0</v>
      </c>
      <c r="L38" s="748">
        <v>0</v>
      </c>
      <c r="M38" s="720"/>
      <c r="N38" s="632">
        <v>0</v>
      </c>
      <c r="O38" s="632">
        <v>0</v>
      </c>
      <c r="P38" s="633">
        <v>0</v>
      </c>
      <c r="Q38" s="97"/>
      <c r="R38" s="747">
        <v>0</v>
      </c>
      <c r="S38" s="563"/>
      <c r="T38" s="563"/>
      <c r="U38" s="127"/>
      <c r="V38" s="127"/>
      <c r="W38" s="128"/>
      <c r="X38" s="74"/>
      <c r="Y38" s="561"/>
      <c r="Z38" s="561"/>
      <c r="AA38" s="561"/>
      <c r="AB38" s="561"/>
    </row>
    <row r="39" spans="1:28" s="83" customFormat="1" ht="12" customHeight="1">
      <c r="A39" s="138" t="s">
        <v>116</v>
      </c>
      <c r="B39" s="959"/>
      <c r="C39" s="971"/>
      <c r="D39" s="971"/>
      <c r="E39" s="971"/>
      <c r="F39" s="175">
        <f>SUM(F36:F38)</f>
        <v>43668.658089862765</v>
      </c>
      <c r="G39" s="176">
        <f>SUM(G36:G38)</f>
        <v>93832</v>
      </c>
      <c r="H39" s="176">
        <f>SUM(H36:H38)</f>
        <v>95079.223684210519</v>
      </c>
      <c r="I39" s="176">
        <f>SUM(I36:I38)</f>
        <v>95284.15789473684</v>
      </c>
      <c r="J39" s="220">
        <f>SUM(J36:J38)</f>
        <v>71009.24437350042</v>
      </c>
      <c r="K39" s="754">
        <f t="shared" ref="K39:L39" si="10">SUM(K36:K38)</f>
        <v>102901.86905632267</v>
      </c>
      <c r="L39" s="755">
        <f t="shared" si="10"/>
        <v>91795.81330181993</v>
      </c>
      <c r="M39" s="721"/>
      <c r="N39" s="607">
        <f t="shared" ref="N39:P39" si="11">SUM(N36:N38)</f>
        <v>88853.790174257534</v>
      </c>
      <c r="O39" s="607">
        <f t="shared" si="11"/>
        <v>87586.425944205388</v>
      </c>
      <c r="P39" s="608">
        <f t="shared" si="11"/>
        <v>83479.934895196988</v>
      </c>
      <c r="Q39" s="97"/>
      <c r="R39" s="754">
        <f>SUM(R36:R38)</f>
        <v>102901.86905632267</v>
      </c>
      <c r="S39" s="139"/>
      <c r="T39" s="139"/>
      <c r="U39" s="140"/>
      <c r="V39" s="140"/>
      <c r="W39" s="141"/>
      <c r="X39" s="74"/>
      <c r="Y39" s="561"/>
      <c r="Z39" s="561"/>
      <c r="AA39" s="561"/>
      <c r="AB39" s="561"/>
    </row>
    <row r="40" spans="1:28" ht="12" customHeight="1">
      <c r="A40" s="91" t="s">
        <v>117</v>
      </c>
      <c r="B40" s="91"/>
      <c r="C40" s="969"/>
      <c r="D40" s="969"/>
      <c r="E40" s="969"/>
      <c r="F40" s="91"/>
      <c r="G40" s="91"/>
      <c r="H40" s="91"/>
      <c r="I40" s="91"/>
      <c r="J40" s="91"/>
      <c r="K40" s="756"/>
      <c r="L40" s="756"/>
      <c r="M40" s="142"/>
      <c r="N40" s="595"/>
      <c r="O40" s="595"/>
      <c r="P40" s="595"/>
      <c r="Q40" s="97"/>
      <c r="R40" s="756"/>
      <c r="S40" s="142"/>
      <c r="T40" s="142"/>
      <c r="U40" s="143"/>
      <c r="V40" s="143"/>
      <c r="W40" s="143"/>
      <c r="Y40" s="561"/>
      <c r="Z40" s="561"/>
      <c r="AA40" s="561"/>
      <c r="AB40" s="561"/>
    </row>
    <row r="41" spans="1:28" s="83" customFormat="1" ht="12" customHeight="1">
      <c r="A41" s="144" t="s">
        <v>118</v>
      </c>
      <c r="B41" s="959"/>
      <c r="C41" s="975"/>
      <c r="D41" s="975"/>
      <c r="E41" s="975"/>
      <c r="F41" s="1092">
        <f>IF(F39&gt;0,F16/F39,"")</f>
        <v>7.5999999999999998E-2</v>
      </c>
      <c r="G41" s="1093">
        <f t="shared" ref="G41:I41" si="12">IF(G39&gt;0,G16/G39,"")</f>
        <v>7.5997527495950207E-2</v>
      </c>
      <c r="H41" s="1093">
        <f t="shared" si="12"/>
        <v>7.6002741259959899E-2</v>
      </c>
      <c r="I41" s="1093">
        <f t="shared" si="12"/>
        <v>7.5999999999999998E-2</v>
      </c>
      <c r="J41" s="1094">
        <f>IF(J39&gt;0,J16/J39,"")</f>
        <v>7.5999999999999998E-2</v>
      </c>
      <c r="K41" s="757">
        <f t="shared" ref="K41:L41" si="13">IF(K39&gt;0,K16/K39,"")</f>
        <v>5.8500000000000003E-2</v>
      </c>
      <c r="L41" s="758">
        <f t="shared" si="13"/>
        <v>5.8500000000000003E-2</v>
      </c>
      <c r="M41" s="504"/>
      <c r="N41" s="758">
        <f t="shared" ref="N41:P41" si="14">IF(N39&gt;0,N16/N39,"")</f>
        <v>5.8500000000000003E-2</v>
      </c>
      <c r="O41" s="758">
        <f t="shared" si="14"/>
        <v>5.8500000000000003E-2</v>
      </c>
      <c r="P41" s="1419">
        <f t="shared" si="14"/>
        <v>5.8500000000000003E-2</v>
      </c>
      <c r="Q41" s="1420"/>
      <c r="R41" s="757">
        <f>IF(R39&gt;0,R16/R39,"")</f>
        <v>5.8500000000000003E-2</v>
      </c>
      <c r="S41" s="1093"/>
      <c r="T41" s="1093"/>
      <c r="U41" s="1095"/>
      <c r="V41" s="1095"/>
      <c r="W41" s="1096"/>
      <c r="X41" s="74"/>
    </row>
    <row r="42" spans="1:28" s="83" customFormat="1" ht="12" customHeight="1">
      <c r="A42" s="148" t="s">
        <v>119</v>
      </c>
      <c r="B42" s="959"/>
      <c r="C42" s="975"/>
      <c r="D42" s="975"/>
      <c r="E42" s="975"/>
      <c r="F42" s="1033"/>
      <c r="G42" s="440"/>
      <c r="H42" s="440"/>
      <c r="I42" s="440"/>
      <c r="J42" s="1034"/>
      <c r="K42" s="824"/>
      <c r="L42" s="824"/>
      <c r="M42" s="720"/>
      <c r="N42" s="824"/>
      <c r="O42" s="824"/>
      <c r="P42" s="824"/>
      <c r="Q42" s="97"/>
      <c r="R42" s="824"/>
      <c r="S42" s="440"/>
      <c r="T42" s="440"/>
      <c r="U42" s="441"/>
      <c r="V42" s="441"/>
      <c r="W42" s="442"/>
      <c r="X42" s="74"/>
    </row>
    <row r="43" spans="1:28" s="83" customFormat="1" ht="12" customHeight="1">
      <c r="A43" s="148" t="s">
        <v>120</v>
      </c>
      <c r="B43" s="959"/>
      <c r="C43" s="975"/>
      <c r="D43" s="975"/>
      <c r="E43" s="975"/>
      <c r="F43" s="1033"/>
      <c r="G43" s="440"/>
      <c r="H43" s="440"/>
      <c r="I43" s="440"/>
      <c r="J43" s="1034"/>
      <c r="K43" s="824"/>
      <c r="L43" s="824"/>
      <c r="M43" s="720"/>
      <c r="N43" s="824"/>
      <c r="O43" s="824"/>
      <c r="P43" s="824"/>
      <c r="Q43" s="97"/>
      <c r="R43" s="824"/>
      <c r="S43" s="440"/>
      <c r="T43" s="440"/>
      <c r="U43" s="441"/>
      <c r="V43" s="441"/>
      <c r="W43" s="442"/>
      <c r="X43" s="74"/>
    </row>
    <row r="44" spans="1:28" s="83" customFormat="1" ht="12" customHeight="1">
      <c r="A44" s="153" t="s">
        <v>121</v>
      </c>
      <c r="B44" s="959"/>
      <c r="C44" s="975"/>
      <c r="D44" s="975"/>
      <c r="E44" s="975"/>
      <c r="F44" s="444"/>
      <c r="G44" s="445"/>
      <c r="H44" s="445"/>
      <c r="I44" s="445"/>
      <c r="J44" s="1022"/>
      <c r="K44" s="826"/>
      <c r="L44" s="826"/>
      <c r="M44" s="721"/>
      <c r="N44" s="826"/>
      <c r="O44" s="826"/>
      <c r="P44" s="826"/>
      <c r="Q44" s="97"/>
      <c r="R44" s="826"/>
      <c r="S44" s="445"/>
      <c r="T44" s="445"/>
      <c r="U44" s="446"/>
      <c r="V44" s="447"/>
      <c r="W44" s="448"/>
      <c r="X44" s="74"/>
    </row>
    <row r="45" spans="1:28" s="83" customFormat="1" ht="5.65" customHeight="1">
      <c r="A45" s="93"/>
      <c r="B45" s="79"/>
      <c r="C45" s="963"/>
      <c r="D45" s="963"/>
      <c r="E45" s="963"/>
      <c r="F45" s="79"/>
      <c r="G45" s="79"/>
      <c r="H45" s="79"/>
      <c r="I45" s="79"/>
      <c r="J45" s="79"/>
      <c r="K45" s="763"/>
      <c r="L45" s="763"/>
      <c r="M45" s="159"/>
      <c r="N45" s="601"/>
      <c r="O45" s="601"/>
      <c r="P45" s="601"/>
      <c r="Q45" s="97"/>
      <c r="R45" s="763"/>
      <c r="S45" s="159"/>
      <c r="T45" s="159"/>
      <c r="U45" s="160"/>
      <c r="V45" s="161"/>
      <c r="W45" s="161"/>
      <c r="X45" s="74"/>
    </row>
    <row r="46" spans="1:28" s="451" customFormat="1" ht="12" customHeight="1">
      <c r="A46" s="162" t="s">
        <v>122</v>
      </c>
      <c r="B46" s="79"/>
      <c r="C46" s="963"/>
      <c r="D46" s="963"/>
      <c r="E46" s="963"/>
      <c r="F46" s="79"/>
      <c r="G46" s="79"/>
      <c r="H46" s="79"/>
      <c r="I46" s="79"/>
      <c r="J46" s="79"/>
      <c r="K46" s="764"/>
      <c r="L46" s="764"/>
      <c r="M46" s="118"/>
      <c r="N46" s="602"/>
      <c r="O46" s="602"/>
      <c r="P46" s="602"/>
      <c r="Q46" s="97"/>
      <c r="R46" s="764"/>
      <c r="S46" s="118"/>
      <c r="T46" s="118"/>
      <c r="U46" s="449"/>
      <c r="V46" s="449"/>
      <c r="W46" s="449"/>
      <c r="X46" s="450"/>
    </row>
    <row r="47" spans="1:28" s="450" customFormat="1" ht="12" customHeight="1">
      <c r="A47" s="163" t="s">
        <v>123</v>
      </c>
      <c r="B47" s="960"/>
      <c r="C47" s="977"/>
      <c r="D47" s="977"/>
      <c r="E47" s="977"/>
      <c r="F47" s="999"/>
      <c r="G47" s="165"/>
      <c r="H47" s="165"/>
      <c r="I47" s="165"/>
      <c r="J47" s="1000"/>
      <c r="K47" s="933">
        <v>0</v>
      </c>
      <c r="L47" s="934">
        <v>0</v>
      </c>
      <c r="M47" s="165">
        <f>K47+L47</f>
        <v>0</v>
      </c>
      <c r="N47" s="935">
        <v>0</v>
      </c>
      <c r="O47" s="935">
        <v>0</v>
      </c>
      <c r="P47" s="936">
        <v>0</v>
      </c>
      <c r="Q47" s="97"/>
      <c r="R47" s="933">
        <v>0</v>
      </c>
      <c r="S47" s="165"/>
      <c r="T47" s="165"/>
      <c r="U47" s="165"/>
      <c r="V47" s="452"/>
      <c r="W47" s="453"/>
      <c r="Y47" s="561"/>
      <c r="Z47" s="561"/>
      <c r="AA47" s="561"/>
      <c r="AB47" s="561"/>
    </row>
    <row r="48" spans="1:28" s="83" customFormat="1" ht="5.65" customHeight="1">
      <c r="A48" s="93"/>
      <c r="B48" s="79"/>
      <c r="C48" s="971"/>
      <c r="D48" s="971"/>
      <c r="E48" s="971"/>
      <c r="F48" s="107"/>
      <c r="G48" s="107"/>
      <c r="H48" s="107"/>
      <c r="I48" s="107"/>
      <c r="J48" s="107"/>
      <c r="K48" s="830"/>
      <c r="L48" s="830"/>
      <c r="M48" s="159"/>
      <c r="N48" s="603"/>
      <c r="O48" s="603"/>
      <c r="P48" s="603"/>
      <c r="Q48" s="97"/>
      <c r="R48" s="830"/>
      <c r="S48" s="454"/>
      <c r="T48" s="454"/>
      <c r="U48" s="455"/>
      <c r="V48" s="456"/>
      <c r="W48" s="456"/>
      <c r="X48" s="74"/>
    </row>
    <row r="49" spans="1:28" s="459" customFormat="1" ht="12" customHeight="1">
      <c r="A49" s="166" t="s">
        <v>124</v>
      </c>
      <c r="B49" s="75"/>
      <c r="C49" s="971"/>
      <c r="D49" s="971"/>
      <c r="E49" s="971"/>
      <c r="F49" s="457"/>
      <c r="G49" s="457"/>
      <c r="H49" s="457"/>
      <c r="I49" s="457"/>
      <c r="J49" s="457"/>
      <c r="K49" s="831"/>
      <c r="L49" s="831"/>
      <c r="M49" s="167"/>
      <c r="N49" s="604"/>
      <c r="O49" s="604"/>
      <c r="P49" s="604"/>
      <c r="Q49" s="97"/>
      <c r="R49" s="831"/>
      <c r="S49" s="457"/>
      <c r="T49" s="457"/>
      <c r="U49" s="458"/>
      <c r="V49" s="458"/>
      <c r="W49" s="458"/>
    </row>
    <row r="50" spans="1:28" s="83" customFormat="1" ht="12" customHeight="1">
      <c r="A50" s="134" t="s">
        <v>125</v>
      </c>
      <c r="B50" s="959"/>
      <c r="C50" s="971"/>
      <c r="D50" s="971"/>
      <c r="E50" s="971"/>
      <c r="F50" s="523"/>
      <c r="G50" s="504"/>
      <c r="H50" s="504"/>
      <c r="I50" s="504"/>
      <c r="J50" s="956"/>
      <c r="K50" s="1156">
        <f>+K15</f>
        <v>6225.6170002239896</v>
      </c>
      <c r="L50" s="652">
        <f>+L15</f>
        <v>4823.1427301692547</v>
      </c>
      <c r="M50" s="564">
        <f>K50+L50</f>
        <v>11048.759730393245</v>
      </c>
      <c r="N50" s="652">
        <f>+N15</f>
        <v>4877.3909982534587</v>
      </c>
      <c r="O50" s="652">
        <f t="shared" ref="O50:P50" si="15">+O15</f>
        <v>5024.2511255145509</v>
      </c>
      <c r="P50" s="1417">
        <f t="shared" si="15"/>
        <v>4971.7900374644178</v>
      </c>
      <c r="Q50" s="1156"/>
      <c r="R50" s="812">
        <f t="shared" ref="R50" si="16">+R15</f>
        <v>6225.6170002239896</v>
      </c>
      <c r="S50" s="564"/>
      <c r="T50" s="564"/>
      <c r="U50" s="564"/>
      <c r="V50" s="564"/>
      <c r="W50" s="460"/>
      <c r="X50" s="74"/>
      <c r="Y50" s="561"/>
      <c r="Z50" s="561"/>
      <c r="AA50" s="561"/>
      <c r="AB50" s="561"/>
    </row>
    <row r="51" spans="1:28" s="83" customFormat="1" ht="12" customHeight="1">
      <c r="A51" s="137" t="s">
        <v>126</v>
      </c>
      <c r="B51" s="959"/>
      <c r="C51" s="971"/>
      <c r="D51" s="971"/>
      <c r="E51" s="971"/>
      <c r="F51" s="480"/>
      <c r="G51" s="481"/>
      <c r="H51" s="481"/>
      <c r="I51" s="481"/>
      <c r="J51" s="708"/>
      <c r="K51" s="1157">
        <f>+K36*K41</f>
        <v>6019.7593397948767</v>
      </c>
      <c r="L51" s="748">
        <f>+L36*L41</f>
        <v>5370.0550781564662</v>
      </c>
      <c r="M51" s="563">
        <f>K51+L51</f>
        <v>11389.814417951344</v>
      </c>
      <c r="N51" s="748">
        <f>+N36*N41</f>
        <v>5197.9467251940659</v>
      </c>
      <c r="O51" s="748">
        <f t="shared" ref="O51:P51" si="17">+O36*O41</f>
        <v>5123.8059177360155</v>
      </c>
      <c r="P51" s="1416">
        <f t="shared" si="17"/>
        <v>4883.5761913690239</v>
      </c>
      <c r="Q51" s="1157"/>
      <c r="R51" s="747">
        <f t="shared" ref="R51" si="18">+R36*R41</f>
        <v>6019.7593397948767</v>
      </c>
      <c r="S51" s="563"/>
      <c r="T51" s="563"/>
      <c r="U51" s="563"/>
      <c r="V51" s="563"/>
      <c r="W51" s="461"/>
      <c r="X51" s="74"/>
      <c r="Y51" s="561"/>
      <c r="Z51" s="561"/>
      <c r="AA51" s="561"/>
      <c r="AB51" s="561"/>
    </row>
    <row r="52" spans="1:28" s="83" customFormat="1" ht="12" customHeight="1">
      <c r="A52" s="153" t="s">
        <v>127</v>
      </c>
      <c r="B52" s="959"/>
      <c r="C52" s="971"/>
      <c r="D52" s="971"/>
      <c r="E52" s="971"/>
      <c r="F52" s="1007"/>
      <c r="G52" s="1008"/>
      <c r="H52" s="1008"/>
      <c r="I52" s="1008"/>
      <c r="J52" s="1023"/>
      <c r="K52" s="1158">
        <v>0</v>
      </c>
      <c r="L52" s="817">
        <v>0</v>
      </c>
      <c r="M52" s="139">
        <f>K52+L52</f>
        <v>0</v>
      </c>
      <c r="N52" s="817">
        <v>0</v>
      </c>
      <c r="O52" s="817">
        <v>0</v>
      </c>
      <c r="P52" s="1422">
        <v>0</v>
      </c>
      <c r="Q52" s="1158"/>
      <c r="R52" s="816">
        <v>0</v>
      </c>
      <c r="S52" s="139"/>
      <c r="T52" s="139"/>
      <c r="U52" s="139"/>
      <c r="V52" s="139"/>
      <c r="W52" s="168"/>
      <c r="X52" s="74"/>
      <c r="Y52" s="561"/>
      <c r="Z52" s="561"/>
      <c r="AA52" s="561"/>
      <c r="AB52" s="561"/>
    </row>
    <row r="53" spans="1:28" s="83" customFormat="1" ht="5.65" customHeight="1">
      <c r="A53" s="93"/>
      <c r="B53" s="79"/>
      <c r="C53" s="963"/>
      <c r="D53" s="963"/>
      <c r="E53" s="963"/>
      <c r="F53" s="79"/>
      <c r="G53" s="79"/>
      <c r="H53" s="79"/>
      <c r="I53" s="79"/>
      <c r="J53" s="79"/>
      <c r="K53" s="763"/>
      <c r="L53" s="763"/>
      <c r="M53" s="159"/>
      <c r="N53" s="601"/>
      <c r="O53" s="601"/>
      <c r="P53" s="601"/>
      <c r="Q53" s="97"/>
      <c r="R53" s="763"/>
      <c r="S53" s="159"/>
      <c r="T53" s="159"/>
      <c r="U53" s="160"/>
      <c r="V53" s="161"/>
      <c r="W53" s="161"/>
      <c r="X53" s="74"/>
    </row>
    <row r="54" spans="1:28" s="459" customFormat="1" ht="12" customHeight="1">
      <c r="A54" s="166" t="s">
        <v>128</v>
      </c>
      <c r="B54" s="75"/>
      <c r="C54" s="963"/>
      <c r="D54" s="963"/>
      <c r="E54" s="963"/>
      <c r="F54" s="75"/>
      <c r="G54" s="75"/>
      <c r="H54" s="75"/>
      <c r="I54" s="75"/>
      <c r="J54" s="75"/>
      <c r="K54" s="765"/>
      <c r="L54" s="765"/>
      <c r="M54" s="167"/>
      <c r="N54" s="605"/>
      <c r="O54" s="605"/>
      <c r="P54" s="605"/>
      <c r="Q54" s="97"/>
      <c r="R54" s="765"/>
      <c r="S54" s="167"/>
      <c r="T54" s="167"/>
      <c r="U54" s="462"/>
      <c r="V54" s="462"/>
      <c r="W54" s="462"/>
    </row>
    <row r="55" spans="1:28" s="463" customFormat="1" ht="12" customHeight="1">
      <c r="A55" s="169" t="s">
        <v>129</v>
      </c>
      <c r="B55" s="960"/>
      <c r="C55" s="976"/>
      <c r="D55" s="976"/>
      <c r="E55" s="976"/>
      <c r="F55" s="1001"/>
      <c r="G55" s="509"/>
      <c r="H55" s="509"/>
      <c r="I55" s="509"/>
      <c r="J55" s="1029"/>
      <c r="K55" s="1019"/>
      <c r="L55" s="1020"/>
      <c r="M55" s="509"/>
      <c r="N55" s="1021"/>
      <c r="O55" s="1021"/>
      <c r="P55" s="1018"/>
      <c r="Q55" s="97"/>
      <c r="R55" s="1019"/>
      <c r="S55" s="509"/>
      <c r="T55" s="509"/>
      <c r="U55" s="511"/>
      <c r="V55" s="511"/>
      <c r="W55" s="512"/>
      <c r="Y55" s="561"/>
      <c r="Z55" s="561"/>
      <c r="AA55" s="561"/>
      <c r="AB55" s="561"/>
    </row>
    <row r="56" spans="1:28" s="83" customFormat="1" ht="12" customHeight="1">
      <c r="A56" s="137" t="s">
        <v>130</v>
      </c>
      <c r="B56" s="959"/>
      <c r="C56" s="971"/>
      <c r="D56" s="971"/>
      <c r="E56" s="971"/>
      <c r="F56" s="480"/>
      <c r="G56" s="481"/>
      <c r="H56" s="481"/>
      <c r="I56" s="481"/>
      <c r="J56" s="708"/>
      <c r="K56" s="745"/>
      <c r="L56" s="746"/>
      <c r="M56" s="481"/>
      <c r="N56" s="653"/>
      <c r="O56" s="653"/>
      <c r="P56" s="578"/>
      <c r="Q56" s="97"/>
      <c r="R56" s="745"/>
      <c r="S56" s="481"/>
      <c r="T56" s="481"/>
      <c r="U56" s="513"/>
      <c r="V56" s="513"/>
      <c r="W56" s="514"/>
      <c r="X56" s="74"/>
      <c r="Y56" s="561"/>
      <c r="Z56" s="561"/>
      <c r="AA56" s="561"/>
      <c r="AB56" s="561"/>
    </row>
    <row r="57" spans="1:28" s="83" customFormat="1" ht="12" customHeight="1">
      <c r="A57" s="153" t="s">
        <v>131</v>
      </c>
      <c r="B57" s="959"/>
      <c r="C57" s="971"/>
      <c r="D57" s="971"/>
      <c r="E57" s="971"/>
      <c r="F57" s="1007"/>
      <c r="G57" s="1008"/>
      <c r="H57" s="1008"/>
      <c r="I57" s="1008"/>
      <c r="J57" s="1023"/>
      <c r="K57" s="1014"/>
      <c r="L57" s="1015"/>
      <c r="M57" s="1008"/>
      <c r="N57" s="932"/>
      <c r="O57" s="932"/>
      <c r="P57" s="1009"/>
      <c r="Q57" s="97"/>
      <c r="R57" s="1014"/>
      <c r="S57" s="1008"/>
      <c r="T57" s="1008"/>
      <c r="U57" s="1008"/>
      <c r="V57" s="447"/>
      <c r="W57" s="448"/>
      <c r="X57" s="74"/>
      <c r="Y57" s="561"/>
      <c r="Z57" s="561"/>
      <c r="AA57" s="561"/>
      <c r="AB57" s="561"/>
    </row>
    <row r="58" spans="1:28" ht="12" customHeight="1">
      <c r="A58" s="170"/>
      <c r="B58" s="171"/>
      <c r="C58" s="992"/>
      <c r="D58" s="992"/>
      <c r="E58" s="992"/>
      <c r="F58" s="464"/>
      <c r="G58" s="464"/>
      <c r="H58" s="464"/>
      <c r="I58" s="464"/>
      <c r="J58" s="464"/>
      <c r="K58" s="833"/>
      <c r="L58" s="833"/>
      <c r="M58" s="172"/>
      <c r="N58" s="606"/>
      <c r="O58" s="606"/>
      <c r="P58" s="606"/>
      <c r="Q58" s="97"/>
      <c r="R58" s="833"/>
      <c r="S58" s="465"/>
      <c r="T58" s="465"/>
      <c r="U58" s="466"/>
      <c r="V58" s="467"/>
      <c r="W58" s="467"/>
    </row>
    <row r="59" spans="1:28" ht="15.6" customHeight="1">
      <c r="A59" s="91" t="s">
        <v>132</v>
      </c>
      <c r="B59" s="91"/>
      <c r="C59" s="993"/>
      <c r="D59" s="993"/>
      <c r="E59" s="993"/>
      <c r="F59" s="216"/>
      <c r="G59" s="216"/>
      <c r="H59" s="216"/>
      <c r="I59" s="216"/>
      <c r="J59" s="216"/>
      <c r="K59" s="834"/>
      <c r="L59" s="834"/>
      <c r="M59" s="93"/>
      <c r="N59" s="587"/>
      <c r="O59" s="587"/>
      <c r="P59" s="587"/>
      <c r="Q59" s="97"/>
      <c r="R59" s="834"/>
      <c r="S59" s="92"/>
      <c r="T59" s="92"/>
      <c r="U59" s="94"/>
      <c r="V59" s="94"/>
      <c r="W59" s="94"/>
    </row>
    <row r="60" spans="1:28" ht="12" customHeight="1">
      <c r="A60" s="173" t="s">
        <v>133</v>
      </c>
      <c r="B60" s="959"/>
      <c r="C60" s="971"/>
      <c r="D60" s="971"/>
      <c r="E60" s="971"/>
      <c r="F60" s="121">
        <v>166.68966955934906</v>
      </c>
      <c r="G60" s="564">
        <v>176.965</v>
      </c>
      <c r="H60" s="564">
        <v>165.60585518035151</v>
      </c>
      <c r="I60" s="564">
        <v>172.35059331645445</v>
      </c>
      <c r="J60" s="707">
        <v>176.50065288312143</v>
      </c>
      <c r="K60" s="812">
        <f>K31*0.25%</f>
        <v>138.82668300042332</v>
      </c>
      <c r="L60" s="812">
        <f>L31*0.25%</f>
        <v>139.58804518523817</v>
      </c>
      <c r="M60" s="564">
        <f>K60+L60</f>
        <v>278.41472818566149</v>
      </c>
      <c r="N60" s="812">
        <f>N31*0.25%</f>
        <v>141.12083009677602</v>
      </c>
      <c r="O60" s="812">
        <f>O31*0.25%</f>
        <v>143.54578752835459</v>
      </c>
      <c r="P60" s="812">
        <f>P31*0.25%</f>
        <v>146.41356599230309</v>
      </c>
      <c r="Q60" s="97"/>
      <c r="R60" s="812">
        <f>R31*0.25%</f>
        <v>138.82668300042332</v>
      </c>
      <c r="S60" s="564"/>
      <c r="T60" s="564"/>
      <c r="U60" s="100"/>
      <c r="V60" s="123"/>
      <c r="W60" s="124"/>
      <c r="Y60" s="561"/>
      <c r="Z60" s="561"/>
      <c r="AA60" s="561"/>
      <c r="AB60" s="561"/>
    </row>
    <row r="61" spans="1:28" s="112" customFormat="1" ht="12" customHeight="1">
      <c r="A61" s="174" t="s">
        <v>134</v>
      </c>
      <c r="B61" s="961"/>
      <c r="C61" s="972"/>
      <c r="D61" s="972"/>
      <c r="E61" s="972"/>
      <c r="F61" s="175">
        <f t="shared" ref="F61:R61" si="19">F18-F60</f>
        <v>66509.178154180248</v>
      </c>
      <c r="G61" s="176">
        <f t="shared" si="19"/>
        <v>70609.035000000003</v>
      </c>
      <c r="H61" s="176">
        <f t="shared" si="19"/>
        <v>65287.567945340459</v>
      </c>
      <c r="I61" s="176">
        <f t="shared" si="19"/>
        <v>68767.886733265332</v>
      </c>
      <c r="J61" s="220">
        <f t="shared" si="19"/>
        <v>70423.760500365461</v>
      </c>
      <c r="K61" s="754">
        <f t="shared" si="19"/>
        <v>55391.846517168895</v>
      </c>
      <c r="L61" s="755">
        <f t="shared" si="19"/>
        <v>55695.630028910033</v>
      </c>
      <c r="M61" s="607">
        <f>M18-M60</f>
        <v>111087.47654607893</v>
      </c>
      <c r="N61" s="607">
        <f t="shared" si="19"/>
        <v>56307.211208613633</v>
      </c>
      <c r="O61" s="607">
        <f t="shared" si="19"/>
        <v>57274.769223813484</v>
      </c>
      <c r="P61" s="608">
        <f t="shared" si="19"/>
        <v>58419.012830928936</v>
      </c>
      <c r="Q61" s="97"/>
      <c r="R61" s="754">
        <f t="shared" si="19"/>
        <v>55391.846517168895</v>
      </c>
      <c r="S61" s="176"/>
      <c r="T61" s="176"/>
      <c r="U61" s="468"/>
      <c r="V61" s="177"/>
      <c r="W61" s="178"/>
      <c r="Y61" s="561"/>
      <c r="Z61" s="561"/>
      <c r="AA61" s="561"/>
      <c r="AB61" s="561"/>
    </row>
    <row r="62" spans="1:28" s="179" customFormat="1" ht="12" customHeight="1">
      <c r="A62" s="93"/>
      <c r="B62" s="79"/>
      <c r="C62" s="963"/>
      <c r="D62" s="963"/>
      <c r="E62" s="963"/>
      <c r="F62" s="79"/>
      <c r="G62" s="79"/>
      <c r="H62" s="79"/>
      <c r="I62" s="79"/>
      <c r="J62" s="79"/>
      <c r="K62" s="835"/>
      <c r="L62" s="835"/>
      <c r="M62" s="217"/>
      <c r="N62" s="600"/>
      <c r="O62" s="600"/>
      <c r="P62" s="600"/>
      <c r="Q62" s="97"/>
      <c r="R62" s="835"/>
      <c r="S62" s="217"/>
      <c r="T62" s="217"/>
      <c r="U62" s="218"/>
      <c r="V62" s="218"/>
      <c r="W62" s="218"/>
      <c r="X62" s="74"/>
    </row>
    <row r="63" spans="1:28" ht="15.6" customHeight="1">
      <c r="A63" s="91" t="s">
        <v>135</v>
      </c>
      <c r="B63" s="91"/>
      <c r="C63" s="969"/>
      <c r="D63" s="969"/>
      <c r="E63" s="969"/>
      <c r="F63" s="91"/>
      <c r="G63" s="91"/>
      <c r="H63" s="91"/>
      <c r="I63" s="91"/>
      <c r="J63" s="91"/>
      <c r="K63" s="742"/>
      <c r="L63" s="742"/>
      <c r="M63" s="93"/>
      <c r="N63" s="586"/>
      <c r="O63" s="586"/>
      <c r="P63" s="587"/>
      <c r="Q63" s="97"/>
      <c r="R63" s="742"/>
      <c r="S63" s="93"/>
      <c r="T63" s="93"/>
      <c r="U63" s="94"/>
      <c r="V63" s="94"/>
      <c r="W63" s="94"/>
    </row>
    <row r="64" spans="1:28" s="184" customFormat="1" ht="12" customHeight="1">
      <c r="A64" s="134" t="s">
        <v>136</v>
      </c>
      <c r="B64" s="79"/>
      <c r="C64" s="979"/>
      <c r="D64" s="979"/>
      <c r="E64" s="979"/>
      <c r="F64" s="180">
        <f>'T1'!F64</f>
        <v>0.02</v>
      </c>
      <c r="G64" s="181">
        <f>'T1'!G64</f>
        <v>3.9E-2</v>
      </c>
      <c r="H64" s="181">
        <f>'T1'!H64</f>
        <v>1.9E-2</v>
      </c>
      <c r="I64" s="181">
        <f>'T1'!I64</f>
        <v>0.03</v>
      </c>
      <c r="J64" s="927">
        <f>'T1'!J64</f>
        <v>2.3E-2</v>
      </c>
      <c r="K64" s="1046">
        <f>'T1'!K64</f>
        <v>1.2E-2</v>
      </c>
      <c r="L64" s="1036">
        <f>'T1'!L64</f>
        <v>2.1999999999999999E-2</v>
      </c>
      <c r="M64" s="533"/>
      <c r="N64" s="181">
        <f>'T1'!N64</f>
        <v>0.02</v>
      </c>
      <c r="O64" s="181">
        <f>'T1'!O64</f>
        <v>0.02</v>
      </c>
      <c r="P64" s="927">
        <f>'T1'!P64</f>
        <v>0.02</v>
      </c>
      <c r="Q64" s="97"/>
      <c r="R64" s="1035">
        <f>'T1'!R64</f>
        <v>1.2E-2</v>
      </c>
      <c r="S64" s="1036"/>
      <c r="T64" s="1036"/>
      <c r="U64" s="181"/>
      <c r="V64" s="181"/>
      <c r="W64" s="927"/>
      <c r="X64" s="74"/>
      <c r="Y64" s="561"/>
      <c r="Z64" s="561"/>
      <c r="AA64" s="561"/>
      <c r="AB64" s="561"/>
    </row>
    <row r="65" spans="1:28" s="179" customFormat="1" ht="12" customHeight="1">
      <c r="A65" s="137" t="s">
        <v>137</v>
      </c>
      <c r="B65" s="79"/>
      <c r="C65" s="980"/>
      <c r="D65" s="980"/>
      <c r="E65" s="980"/>
      <c r="F65" s="185">
        <f>'T1'!F65</f>
        <v>94.45180643802405</v>
      </c>
      <c r="G65" s="570">
        <f>'T1'!G65</f>
        <v>98.135426889106981</v>
      </c>
      <c r="H65" s="570">
        <f>'T1'!H65</f>
        <v>100</v>
      </c>
      <c r="I65" s="570">
        <f>'T1'!I65</f>
        <v>103</v>
      </c>
      <c r="J65" s="928">
        <f>'T1'!J65</f>
        <v>105.36899999999999</v>
      </c>
      <c r="K65" s="1037">
        <f>'T1'!K65</f>
        <v>106.63342799999998</v>
      </c>
      <c r="L65" s="1038">
        <f>'T1'!L65</f>
        <v>108.97936341599998</v>
      </c>
      <c r="M65" s="536"/>
      <c r="N65" s="570">
        <f>'T1'!N65</f>
        <v>111.15895068431999</v>
      </c>
      <c r="O65" s="570">
        <f>'T1'!O65</f>
        <v>113.38212969800639</v>
      </c>
      <c r="P65" s="928">
        <f>'T1'!P65</f>
        <v>115.64977229196653</v>
      </c>
      <c r="Q65" s="97"/>
      <c r="R65" s="1037">
        <f>'T1'!R65</f>
        <v>106.63342799999998</v>
      </c>
      <c r="S65" s="1038"/>
      <c r="T65" s="1038"/>
      <c r="U65" s="570"/>
      <c r="V65" s="570"/>
      <c r="W65" s="928"/>
      <c r="X65" s="74"/>
      <c r="Y65" s="561"/>
      <c r="Z65" s="561"/>
      <c r="AA65" s="561"/>
      <c r="AB65" s="561"/>
    </row>
    <row r="66" spans="1:28" s="179" customFormat="1" ht="12" customHeight="1">
      <c r="A66" s="188" t="s">
        <v>138</v>
      </c>
      <c r="B66" s="189"/>
      <c r="C66" s="972"/>
      <c r="D66" s="972"/>
      <c r="E66" s="972"/>
      <c r="F66" s="109">
        <f>((F61-F15-F16-F29-F30+F79+F80)/(F65/100))+F15+F16+F29+F30-F79-F80</f>
        <v>70069.092396977401</v>
      </c>
      <c r="G66" s="567">
        <f t="shared" ref="G66:L66" si="20">((G61-G15-G16-G29-G30+G79+G80)/(G65/100))+G15+G16+G29+G30-G79-G80</f>
        <v>71728.534664999999</v>
      </c>
      <c r="H66" s="131">
        <f t="shared" si="20"/>
        <v>65287.567945340459</v>
      </c>
      <c r="I66" s="567">
        <f t="shared" si="20"/>
        <v>67134.530659480908</v>
      </c>
      <c r="J66" s="219">
        <f t="shared" si="20"/>
        <v>67348.587304168628</v>
      </c>
      <c r="K66" s="1047">
        <f t="shared" si="20"/>
        <v>52717.721748245822</v>
      </c>
      <c r="L66" s="1041">
        <f t="shared" si="20"/>
        <v>51959.883089374758</v>
      </c>
      <c r="M66" s="131">
        <f>K66+L66</f>
        <v>104677.60483762057</v>
      </c>
      <c r="N66" s="131">
        <f t="shared" ref="N66" si="21">((N61-N15-N16-N29-N30+N79+N80)/(N65/100))+N15+N16+N29+N30-N79-N80</f>
        <v>51682.806130067715</v>
      </c>
      <c r="O66" s="131">
        <f t="shared" ref="O66" si="22">((O61-O15-O16-O29-O30+O79+O80)/(O65/100))+O15+O16+O29+O30-O79-O80</f>
        <v>51732.568737796129</v>
      </c>
      <c r="P66" s="1048">
        <f t="shared" ref="P66" si="23">((P61-P15-P16-P29-P30+P79+P80)/(P65/100))+P15+P16+P29+P30-P79-P80</f>
        <v>51870.767184887387</v>
      </c>
      <c r="Q66" s="97"/>
      <c r="R66" s="1049">
        <f t="shared" ref="R66" si="24">((R61-R15-R16-R29-R30+R79+R80)/(R65/100))+R15+R16+R29+R30-R79-R80</f>
        <v>52717.721748245822</v>
      </c>
      <c r="S66" s="1041"/>
      <c r="T66" s="1041"/>
      <c r="U66" s="131"/>
      <c r="V66" s="131"/>
      <c r="W66" s="1048"/>
      <c r="X66" s="74"/>
      <c r="Y66" s="561"/>
      <c r="Z66" s="561"/>
      <c r="AA66" s="561"/>
      <c r="AB66" s="561"/>
    </row>
    <row r="67" spans="1:28" s="179" customFormat="1" ht="12" customHeight="1">
      <c r="A67" s="192" t="s">
        <v>99</v>
      </c>
      <c r="B67" s="79"/>
      <c r="C67" s="981"/>
      <c r="D67" s="981"/>
      <c r="E67" s="981"/>
      <c r="F67" s="1002"/>
      <c r="G67" s="193">
        <f t="shared" ref="G67:L67" si="25">G66/F66-1</f>
        <v>2.3682942239654059E-2</v>
      </c>
      <c r="H67" s="571">
        <f t="shared" si="25"/>
        <v>-8.9796435264450136E-2</v>
      </c>
      <c r="I67" s="571">
        <f t="shared" si="25"/>
        <v>2.8289654099027617E-2</v>
      </c>
      <c r="J67" s="929">
        <f t="shared" si="25"/>
        <v>3.1884730940245909E-3</v>
      </c>
      <c r="K67" s="1050">
        <f t="shared" si="25"/>
        <v>-0.217240867872179</v>
      </c>
      <c r="L67" s="1042">
        <f t="shared" si="25"/>
        <v>-1.4375406101389099E-2</v>
      </c>
      <c r="M67" s="718"/>
      <c r="N67" s="571">
        <f>N66/L66-1</f>
        <v>-5.3325169887401547E-3</v>
      </c>
      <c r="O67" s="571">
        <f t="shared" ref="O67:P67" si="26">O66/N66-1</f>
        <v>9.6284647554112368E-4</v>
      </c>
      <c r="P67" s="1051">
        <f t="shared" si="26"/>
        <v>2.6714012171269452E-3</v>
      </c>
      <c r="Q67" s="97"/>
      <c r="R67" s="1052">
        <f>+R66/J66-1</f>
        <v>-0.217240867872179</v>
      </c>
      <c r="S67" s="1042"/>
      <c r="T67" s="1042"/>
      <c r="U67" s="571"/>
      <c r="V67" s="571"/>
      <c r="W67" s="1051"/>
      <c r="X67" s="74"/>
      <c r="Y67" s="561"/>
      <c r="Z67" s="561"/>
      <c r="AA67" s="561"/>
      <c r="AB67" s="561"/>
    </row>
    <row r="68" spans="1:28" s="179" customFormat="1" ht="12" customHeight="1">
      <c r="A68" s="196" t="s">
        <v>139</v>
      </c>
      <c r="B68" s="197"/>
      <c r="C68" s="982"/>
      <c r="D68" s="982"/>
      <c r="E68" s="982"/>
      <c r="F68" s="198">
        <f>'T1'!F68</f>
        <v>246.09299999999999</v>
      </c>
      <c r="G68" s="111">
        <f>'T1'!G68</f>
        <v>245.18199999999999</v>
      </c>
      <c r="H68" s="572">
        <f>'T1'!H68</f>
        <v>249.824836137597</v>
      </c>
      <c r="I68" s="572">
        <f>'T1'!I68</f>
        <v>256.3</v>
      </c>
      <c r="J68" s="930">
        <f>'T1'!J68</f>
        <v>256.00565702730603</v>
      </c>
      <c r="K68" s="1053">
        <f>'T1'!K68</f>
        <v>134.32968502803001</v>
      </c>
      <c r="L68" s="1043">
        <f>'T1'!L68</f>
        <v>139.24003148171201</v>
      </c>
      <c r="M68" s="111">
        <f>K68+L68</f>
        <v>273.56971650974202</v>
      </c>
      <c r="N68" s="572">
        <f>'T1'!N68</f>
        <v>204.80311130053201</v>
      </c>
      <c r="O68" s="572">
        <f>'T1'!O68</f>
        <v>240.42251109710699</v>
      </c>
      <c r="P68" s="930">
        <f>'T1'!P68</f>
        <v>258.33819951035298</v>
      </c>
      <c r="Q68" s="97"/>
      <c r="R68" s="1054">
        <f>'T1'!R68</f>
        <v>134.32968502803001</v>
      </c>
      <c r="S68" s="1043"/>
      <c r="T68" s="1043"/>
      <c r="U68" s="572"/>
      <c r="V68" s="572"/>
      <c r="W68" s="930"/>
      <c r="X68" s="74"/>
      <c r="Y68" s="561"/>
      <c r="Z68" s="561"/>
      <c r="AA68" s="561"/>
      <c r="AB68" s="561"/>
    </row>
    <row r="69" spans="1:28" s="179" customFormat="1" ht="12" customHeight="1">
      <c r="A69" s="192" t="s">
        <v>99</v>
      </c>
      <c r="B69" s="197"/>
      <c r="C69" s="981"/>
      <c r="D69" s="981"/>
      <c r="E69" s="981"/>
      <c r="F69" s="1002"/>
      <c r="G69" s="193">
        <f t="shared" ref="G69:L69" si="27">G68/F68-1</f>
        <v>-3.7018525516776535E-3</v>
      </c>
      <c r="H69" s="571">
        <f t="shared" si="27"/>
        <v>1.8936284627733668E-2</v>
      </c>
      <c r="I69" s="571">
        <f t="shared" si="27"/>
        <v>2.5918815609015988E-2</v>
      </c>
      <c r="J69" s="929">
        <f t="shared" si="27"/>
        <v>-1.14843141901666E-3</v>
      </c>
      <c r="K69" s="1050">
        <f t="shared" si="27"/>
        <v>-0.47528626285901887</v>
      </c>
      <c r="L69" s="1042">
        <f t="shared" si="27"/>
        <v>3.6554440313452563E-2</v>
      </c>
      <c r="M69" s="718"/>
      <c r="N69" s="571">
        <f>N68/L68-1</f>
        <v>0.47086372447015101</v>
      </c>
      <c r="O69" s="571">
        <f t="shared" ref="O69:P69" si="28">O68/N68-1</f>
        <v>0.17392020839129918</v>
      </c>
      <c r="P69" s="1051">
        <f t="shared" si="28"/>
        <v>7.4517516398494799E-2</v>
      </c>
      <c r="Q69" s="97"/>
      <c r="R69" s="1052">
        <f>+R68/J68-1</f>
        <v>-0.47528626285901887</v>
      </c>
      <c r="S69" s="1042"/>
      <c r="T69" s="1042"/>
      <c r="U69" s="571"/>
      <c r="V69" s="571"/>
      <c r="W69" s="1051"/>
      <c r="X69" s="74"/>
      <c r="Y69" s="561"/>
      <c r="Z69" s="561"/>
      <c r="AA69" s="561"/>
      <c r="AB69" s="561"/>
    </row>
    <row r="70" spans="1:28" s="179" customFormat="1" ht="12" customHeight="1">
      <c r="A70" s="196" t="s">
        <v>140</v>
      </c>
      <c r="B70" s="197"/>
      <c r="C70" s="983"/>
      <c r="D70" s="983"/>
      <c r="E70" s="983"/>
      <c r="F70" s="199">
        <f t="shared" ref="F70:R70" si="29">F66/F68</f>
        <v>284.72606858779977</v>
      </c>
      <c r="G70" s="200">
        <f t="shared" si="29"/>
        <v>292.55220474994087</v>
      </c>
      <c r="H70" s="573">
        <f t="shared" si="29"/>
        <v>261.33337643572702</v>
      </c>
      <c r="I70" s="573">
        <f t="shared" si="29"/>
        <v>261.93730261209873</v>
      </c>
      <c r="J70" s="1027">
        <f t="shared" si="29"/>
        <v>263.07460579664109</v>
      </c>
      <c r="K70" s="1055">
        <f t="shared" si="29"/>
        <v>392.45027439203358</v>
      </c>
      <c r="L70" s="1044">
        <f t="shared" si="29"/>
        <v>373.16770569819386</v>
      </c>
      <c r="M70" s="200">
        <f t="shared" si="29"/>
        <v>382.63593709537264</v>
      </c>
      <c r="N70" s="573">
        <f t="shared" si="29"/>
        <v>252.35361807676531</v>
      </c>
      <c r="O70" s="573">
        <f t="shared" si="29"/>
        <v>215.1735646621762</v>
      </c>
      <c r="P70" s="1056">
        <f t="shared" si="29"/>
        <v>200.78628434819856</v>
      </c>
      <c r="Q70" s="97"/>
      <c r="R70" s="1057">
        <f t="shared" si="29"/>
        <v>392.45027439203358</v>
      </c>
      <c r="S70" s="1044"/>
      <c r="T70" s="1044"/>
      <c r="U70" s="573"/>
      <c r="V70" s="573"/>
      <c r="W70" s="1056"/>
      <c r="X70" s="74"/>
      <c r="Y70" s="561"/>
      <c r="Z70" s="561"/>
      <c r="AA70" s="561"/>
      <c r="AB70" s="561"/>
    </row>
    <row r="71" spans="1:28" ht="12" customHeight="1">
      <c r="A71" s="203" t="s">
        <v>99</v>
      </c>
      <c r="B71" s="197"/>
      <c r="C71" s="981"/>
      <c r="D71" s="981"/>
      <c r="E71" s="981"/>
      <c r="F71" s="1003"/>
      <c r="G71" s="204">
        <f t="shared" ref="G71:J71" si="30">+G70/F70-1</f>
        <v>2.7486545931524997E-2</v>
      </c>
      <c r="H71" s="569">
        <f t="shared" si="30"/>
        <v>-0.10671199125263187</v>
      </c>
      <c r="I71" s="569">
        <f t="shared" si="30"/>
        <v>2.3109416202726774E-3</v>
      </c>
      <c r="J71" s="1028">
        <f t="shared" si="30"/>
        <v>4.341890876942367E-3</v>
      </c>
      <c r="K71" s="1058">
        <f>K70/J70-1</f>
        <v>0.4917831890448634</v>
      </c>
      <c r="L71" s="1045">
        <f>L70/K70-1</f>
        <v>-4.9133788283653002E-2</v>
      </c>
      <c r="M71" s="447"/>
      <c r="N71" s="569">
        <f>N70/L70-1</f>
        <v>-0.32375279472639873</v>
      </c>
      <c r="O71" s="569">
        <f>O70/N70-1</f>
        <v>-0.14733314979965551</v>
      </c>
      <c r="P71" s="1059">
        <f t="shared" ref="P71" si="31">P70/O70-1</f>
        <v>-6.6863605371625279E-2</v>
      </c>
      <c r="Q71" s="97"/>
      <c r="R71" s="1060">
        <f>+R70/J70-1</f>
        <v>0.4917831890448634</v>
      </c>
      <c r="S71" s="1045"/>
      <c r="T71" s="1045"/>
      <c r="U71" s="569"/>
      <c r="V71" s="569"/>
      <c r="W71" s="1059"/>
      <c r="Y71" s="561"/>
      <c r="Z71" s="561"/>
      <c r="AA71" s="561"/>
      <c r="AB71" s="561"/>
    </row>
    <row r="72" spans="1:28" s="450" customFormat="1" ht="12" customHeight="1">
      <c r="A72" s="206"/>
      <c r="B72" s="197"/>
      <c r="C72" s="984"/>
      <c r="D72" s="984"/>
      <c r="E72" s="984"/>
      <c r="F72" s="197"/>
      <c r="G72" s="197"/>
      <c r="H72" s="197"/>
      <c r="I72" s="197"/>
      <c r="J72" s="197"/>
      <c r="K72" s="788"/>
      <c r="L72" s="788"/>
      <c r="M72" s="194"/>
      <c r="N72" s="194"/>
      <c r="O72" s="194"/>
      <c r="P72" s="194"/>
      <c r="Q72" s="97"/>
      <c r="R72" s="788"/>
      <c r="S72" s="179"/>
      <c r="T72" s="179"/>
      <c r="U72" s="179"/>
      <c r="V72" s="179"/>
      <c r="W72" s="179"/>
    </row>
    <row r="73" spans="1:28" s="450" customFormat="1" ht="12" customHeight="1">
      <c r="A73" s="207" t="s">
        <v>141</v>
      </c>
      <c r="B73" s="83"/>
      <c r="C73" s="967"/>
      <c r="D73" s="967"/>
      <c r="E73" s="967"/>
      <c r="F73" s="83"/>
      <c r="G73" s="83"/>
      <c r="H73" s="83"/>
      <c r="I73" s="83"/>
      <c r="J73" s="83"/>
      <c r="K73" s="207"/>
      <c r="L73" s="207"/>
      <c r="M73" s="83"/>
      <c r="N73" s="83"/>
      <c r="O73" s="83"/>
      <c r="P73" s="83"/>
      <c r="Q73" s="97"/>
      <c r="R73" s="207"/>
      <c r="S73" s="74"/>
      <c r="T73" s="74"/>
      <c r="U73" s="74"/>
      <c r="V73" s="74"/>
      <c r="W73" s="74"/>
    </row>
    <row r="74" spans="1:28" s="459" customFormat="1" ht="12" customHeight="1">
      <c r="A74" s="208" t="s">
        <v>499</v>
      </c>
      <c r="B74" s="209"/>
      <c r="C74" s="985"/>
      <c r="D74" s="985"/>
      <c r="E74" s="985"/>
      <c r="F74" s="209"/>
      <c r="G74" s="209"/>
      <c r="H74" s="209"/>
      <c r="I74" s="209"/>
      <c r="J74" s="209"/>
      <c r="K74" s="215"/>
      <c r="L74" s="215"/>
      <c r="M74" s="210"/>
      <c r="N74" s="182"/>
      <c r="O74" s="469"/>
      <c r="P74" s="211"/>
      <c r="Q74" s="97"/>
      <c r="R74" s="215"/>
      <c r="S74" s="450"/>
      <c r="T74" s="450"/>
      <c r="U74" s="450"/>
      <c r="V74" s="450"/>
      <c r="W74" s="450"/>
    </row>
    <row r="75" spans="1:28" s="459" customFormat="1" ht="12" customHeight="1">
      <c r="A75" s="208" t="s">
        <v>142</v>
      </c>
      <c r="B75" s="212"/>
      <c r="C75" s="986"/>
      <c r="D75" s="986"/>
      <c r="E75" s="986"/>
      <c r="F75" s="212"/>
      <c r="G75" s="212"/>
      <c r="H75" s="212"/>
      <c r="I75" s="212"/>
      <c r="J75" s="212"/>
      <c r="K75" s="215"/>
      <c r="L75" s="215"/>
      <c r="M75" s="215"/>
      <c r="N75" s="215"/>
      <c r="O75" s="470"/>
      <c r="P75" s="210"/>
      <c r="Q75" s="97"/>
      <c r="R75" s="215"/>
      <c r="S75" s="74"/>
      <c r="T75" s="74"/>
      <c r="U75" s="74"/>
      <c r="V75" s="74"/>
      <c r="W75" s="74"/>
    </row>
    <row r="76" spans="1:28" ht="12" customHeight="1">
      <c r="A76" s="208" t="s">
        <v>143</v>
      </c>
      <c r="B76" s="213"/>
      <c r="C76" s="987"/>
      <c r="D76" s="987"/>
      <c r="E76" s="987"/>
      <c r="F76" s="213"/>
      <c r="G76" s="213"/>
      <c r="H76" s="213"/>
      <c r="I76" s="213"/>
      <c r="J76" s="213"/>
      <c r="K76" s="723"/>
      <c r="L76" s="723"/>
      <c r="M76" s="214"/>
      <c r="N76" s="214"/>
      <c r="O76" s="471"/>
      <c r="P76" s="472"/>
      <c r="Q76" s="97"/>
      <c r="R76" s="723"/>
      <c r="S76" s="459"/>
      <c r="T76" s="459"/>
      <c r="U76" s="459"/>
      <c r="V76" s="459"/>
      <c r="W76" s="459"/>
    </row>
    <row r="77" spans="1:28" s="459" customFormat="1" ht="12" customHeight="1">
      <c r="A77" s="208"/>
      <c r="B77" s="83"/>
      <c r="C77" s="967"/>
      <c r="D77" s="967"/>
      <c r="E77" s="967"/>
      <c r="F77" s="83"/>
      <c r="G77" s="83"/>
      <c r="H77" s="83"/>
      <c r="I77" s="83"/>
      <c r="J77" s="83"/>
      <c r="K77" s="725"/>
      <c r="L77" s="725"/>
      <c r="M77" s="473"/>
      <c r="N77" s="473"/>
      <c r="O77" s="710"/>
      <c r="P77" s="472"/>
      <c r="Q77" s="97"/>
      <c r="R77" s="725"/>
    </row>
    <row r="78" spans="1:28" ht="12" customHeight="1">
      <c r="A78" s="1152" t="s">
        <v>674</v>
      </c>
      <c r="B78" s="1153"/>
      <c r="C78" s="1153"/>
      <c r="D78" s="1153"/>
      <c r="E78" s="1153"/>
      <c r="F78" s="1153"/>
      <c r="G78" s="1153"/>
      <c r="H78" s="1153"/>
      <c r="I78" s="1153"/>
      <c r="J78" s="1154"/>
      <c r="K78" s="1153"/>
      <c r="L78" s="1153"/>
      <c r="M78" s="1153"/>
      <c r="N78" s="1153"/>
      <c r="O78" s="1153"/>
      <c r="P78" s="214"/>
      <c r="Q78" s="97"/>
      <c r="R78" s="475"/>
    </row>
    <row r="79" spans="1:28" ht="12" customHeight="1">
      <c r="A79" s="93" t="s">
        <v>95</v>
      </c>
      <c r="B79" s="93"/>
      <c r="C79" s="93"/>
      <c r="D79" s="93"/>
      <c r="E79" s="93"/>
      <c r="F79" s="1155">
        <v>0</v>
      </c>
      <c r="G79" s="1155">
        <v>0</v>
      </c>
      <c r="H79" s="1155">
        <v>0</v>
      </c>
      <c r="I79" s="1155">
        <v>0</v>
      </c>
      <c r="J79" s="1155">
        <v>0</v>
      </c>
      <c r="K79" s="1167">
        <v>0</v>
      </c>
      <c r="L79" s="1167">
        <v>0</v>
      </c>
      <c r="M79" s="107">
        <f>K79+L79</f>
        <v>0</v>
      </c>
      <c r="N79" s="1155">
        <v>0</v>
      </c>
      <c r="O79" s="1155">
        <v>0</v>
      </c>
      <c r="P79" s="1155">
        <v>0</v>
      </c>
      <c r="Q79" s="1155"/>
      <c r="R79" s="1167">
        <v>0</v>
      </c>
      <c r="S79" s="459"/>
      <c r="T79" s="459"/>
      <c r="U79" s="459"/>
      <c r="V79" s="459"/>
      <c r="W79" s="459"/>
    </row>
    <row r="80" spans="1:28" s="459" customFormat="1" ht="12" customHeight="1">
      <c r="A80" s="93" t="s">
        <v>96</v>
      </c>
      <c r="B80" s="93"/>
      <c r="C80" s="93"/>
      <c r="D80" s="93"/>
      <c r="E80" s="93"/>
      <c r="F80" s="1155">
        <v>0</v>
      </c>
      <c r="G80" s="1155">
        <v>0</v>
      </c>
      <c r="H80" s="1155">
        <v>0</v>
      </c>
      <c r="I80" s="1155">
        <v>0</v>
      </c>
      <c r="J80" s="1155">
        <v>0</v>
      </c>
      <c r="K80" s="1167">
        <v>0</v>
      </c>
      <c r="L80" s="1167">
        <v>0</v>
      </c>
      <c r="M80" s="107">
        <f>K80+L80</f>
        <v>0</v>
      </c>
      <c r="N80" s="1155">
        <v>0</v>
      </c>
      <c r="O80" s="1155">
        <v>0</v>
      </c>
      <c r="P80" s="1155">
        <v>0</v>
      </c>
      <c r="Q80" s="1155"/>
      <c r="R80" s="1167">
        <v>0</v>
      </c>
    </row>
    <row r="81" spans="1:23" ht="12" customHeight="1">
      <c r="A81" s="75"/>
      <c r="B81" s="75"/>
      <c r="F81" s="75"/>
      <c r="G81" s="75"/>
      <c r="H81" s="75"/>
      <c r="I81" s="75"/>
      <c r="J81" s="75"/>
      <c r="K81" s="474"/>
      <c r="L81" s="474"/>
      <c r="N81" s="75"/>
      <c r="O81" s="75"/>
      <c r="P81" s="75"/>
      <c r="Q81" s="473"/>
      <c r="R81" s="474"/>
      <c r="S81" s="459"/>
      <c r="T81" s="459"/>
      <c r="U81" s="459"/>
      <c r="V81" s="459"/>
      <c r="W81" s="459"/>
    </row>
    <row r="82" spans="1:23">
      <c r="F82" s="669"/>
      <c r="G82" s="669"/>
      <c r="H82" s="669"/>
      <c r="I82" s="669"/>
      <c r="J82" s="669"/>
      <c r="K82" s="727"/>
      <c r="L82" s="727"/>
      <c r="M82" s="74"/>
      <c r="N82" s="669"/>
      <c r="O82" s="669"/>
      <c r="P82" s="669"/>
      <c r="Q82" s="90"/>
      <c r="R82" s="727"/>
      <c r="S82" s="90"/>
      <c r="T82" s="90"/>
      <c r="U82" s="90"/>
      <c r="V82" s="90"/>
      <c r="W82" s="90"/>
    </row>
    <row r="83" spans="1:23">
      <c r="P83" s="79"/>
      <c r="Q83" s="79"/>
    </row>
    <row r="85" spans="1:23" ht="12" customHeight="1">
      <c r="A85" s="74"/>
      <c r="B85" s="74"/>
      <c r="C85" s="967"/>
      <c r="D85" s="967"/>
      <c r="E85" s="967"/>
      <c r="F85" s="74"/>
      <c r="G85" s="74"/>
      <c r="H85" s="74"/>
      <c r="I85" s="74"/>
      <c r="J85" s="74"/>
      <c r="K85" s="516"/>
      <c r="L85" s="516"/>
      <c r="N85" s="74"/>
      <c r="O85" s="74"/>
      <c r="R85" s="516"/>
    </row>
    <row r="87" spans="1:23">
      <c r="P87" s="74"/>
      <c r="Q87" s="74"/>
    </row>
    <row r="116" spans="1:18">
      <c r="M116" s="74"/>
    </row>
    <row r="119" spans="1:18" ht="12" customHeight="1">
      <c r="A119" s="476"/>
      <c r="B119" s="74"/>
      <c r="C119" s="967"/>
      <c r="D119" s="967"/>
      <c r="E119" s="967"/>
      <c r="F119" s="74"/>
      <c r="G119" s="74"/>
      <c r="H119" s="74"/>
      <c r="I119" s="74"/>
      <c r="J119" s="74"/>
      <c r="K119" s="516"/>
      <c r="L119" s="516"/>
      <c r="N119" s="74"/>
      <c r="O119" s="74"/>
      <c r="R119" s="516"/>
    </row>
    <row r="121" spans="1:18">
      <c r="P121" s="74"/>
      <c r="Q121" s="74"/>
    </row>
  </sheetData>
  <mergeCells count="3">
    <mergeCell ref="F7:J7"/>
    <mergeCell ref="K7:P7"/>
    <mergeCell ref="R7:W7"/>
  </mergeCells>
  <pageMargins left="0.7" right="0.7" top="0.75" bottom="0.75" header="0.3" footer="0.3"/>
  <pageSetup paperSize="9" scale="6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theme="1"/>
    <pageSetUpPr fitToPage="1"/>
  </sheetPr>
  <dimension ref="A1:L119"/>
  <sheetViews>
    <sheetView showGridLines="0" zoomScale="120" zoomScaleNormal="120" workbookViewId="0">
      <selection activeCell="C118" sqref="C118"/>
    </sheetView>
  </sheetViews>
  <sheetFormatPr baseColWidth="10" defaultColWidth="8.7109375" defaultRowHeight="12.75"/>
  <cols>
    <col min="1" max="1" width="24" style="224" customWidth="1"/>
    <col min="2" max="2" width="51.28515625" style="224" customWidth="1"/>
    <col min="3" max="6" width="12.5703125" style="224" customWidth="1"/>
    <col min="7" max="7" width="14.140625" style="222" bestFit="1" customWidth="1"/>
    <col min="8" max="9" width="10.5703125" style="222" bestFit="1" customWidth="1"/>
    <col min="10" max="16384" width="8.7109375" style="222"/>
  </cols>
  <sheetData>
    <row r="1" spans="1:6">
      <c r="A1" s="1508" t="s">
        <v>149</v>
      </c>
      <c r="B1" s="1508"/>
      <c r="C1" s="1508"/>
      <c r="D1" s="1508"/>
      <c r="E1" s="1508"/>
      <c r="F1" s="1508"/>
    </row>
    <row r="2" spans="1:6">
      <c r="A2" s="223"/>
      <c r="B2" s="223"/>
      <c r="F2" s="225"/>
    </row>
    <row r="3" spans="1:6">
      <c r="A3" s="226" t="str">
        <f>'T1'!A3</f>
        <v>Norway - TCZ</v>
      </c>
      <c r="B3" s="227"/>
      <c r="C3" s="222"/>
      <c r="D3" s="228"/>
      <c r="E3" s="222"/>
      <c r="F3" s="222"/>
    </row>
    <row r="4" spans="1:6">
      <c r="A4" s="229" t="str">
        <f>'T1'!A4</f>
        <v>Currency: NOK</v>
      </c>
      <c r="B4" s="227"/>
      <c r="C4" s="222"/>
      <c r="D4" s="228"/>
      <c r="E4" s="222"/>
      <c r="F4" s="222"/>
    </row>
    <row r="5" spans="1:6">
      <c r="A5" s="230" t="str">
        <f>'T1'!A5</f>
        <v>All Entities</v>
      </c>
      <c r="B5" s="853"/>
      <c r="C5" s="1509" t="s">
        <v>150</v>
      </c>
      <c r="D5" s="1509"/>
      <c r="E5" s="1509"/>
      <c r="F5" s="1510"/>
    </row>
    <row r="6" spans="1:6">
      <c r="A6" s="227"/>
      <c r="B6" s="227"/>
    </row>
    <row r="7" spans="1:6">
      <c r="A7" s="1511" t="s">
        <v>151</v>
      </c>
      <c r="B7" s="1512"/>
      <c r="C7" s="231" t="s">
        <v>498</v>
      </c>
      <c r="D7" s="231">
        <v>2022</v>
      </c>
      <c r="E7" s="231">
        <v>2023</v>
      </c>
      <c r="F7" s="232">
        <v>2024</v>
      </c>
    </row>
    <row r="8" spans="1:6">
      <c r="A8" s="233"/>
      <c r="B8" s="233"/>
      <c r="C8" s="233"/>
      <c r="D8" s="233"/>
      <c r="E8" s="233"/>
      <c r="F8" s="233"/>
    </row>
    <row r="9" spans="1:6" s="236" customFormat="1">
      <c r="A9" s="234" t="s">
        <v>152</v>
      </c>
      <c r="B9" s="234"/>
      <c r="C9" s="235"/>
      <c r="D9" s="671"/>
      <c r="E9" s="671"/>
      <c r="F9" s="671"/>
    </row>
    <row r="10" spans="1:6" ht="3" customHeight="1">
      <c r="A10" s="233"/>
      <c r="B10" s="233"/>
      <c r="C10" s="233"/>
      <c r="D10" s="233"/>
      <c r="E10" s="233"/>
      <c r="F10" s="233"/>
    </row>
    <row r="11" spans="1:6">
      <c r="A11" s="237" t="s">
        <v>153</v>
      </c>
      <c r="B11" s="238"/>
      <c r="C11" s="239"/>
      <c r="D11" s="239"/>
      <c r="E11" s="239"/>
      <c r="F11" s="240"/>
    </row>
    <row r="12" spans="1:6">
      <c r="A12" s="241" t="s">
        <v>154</v>
      </c>
      <c r="B12" s="242"/>
      <c r="C12" s="243">
        <f>'T2 ANSP'!C12+'T2 MET'!C12+'T2 NSA'!C12</f>
        <v>820743.29255454754</v>
      </c>
      <c r="D12" s="243">
        <f>'T2 ANSP'!D12+'T2 MET'!D12+'T2 NSA'!D12</f>
        <v>409243.45930119324</v>
      </c>
      <c r="E12" s="243">
        <f>'T2 ANSP'!E12+'T2 MET'!E12+'T2 NSA'!E12</f>
        <v>430889.41748589167</v>
      </c>
      <c r="F12" s="244">
        <f>'T2 ANSP'!F12+'T2 MET'!F12+'T2 NSA'!F12</f>
        <v>446675.24036653247</v>
      </c>
    </row>
    <row r="13" spans="1:6" ht="3" customHeight="1">
      <c r="A13" s="233"/>
      <c r="B13" s="233"/>
      <c r="C13" s="317"/>
      <c r="D13" s="233"/>
      <c r="E13" s="233"/>
      <c r="F13" s="233"/>
    </row>
    <row r="14" spans="1:6">
      <c r="A14" s="245" t="s">
        <v>155</v>
      </c>
      <c r="B14" s="246"/>
      <c r="C14" s="318"/>
      <c r="D14" s="239"/>
      <c r="E14" s="239"/>
      <c r="F14" s="240"/>
    </row>
    <row r="15" spans="1:6">
      <c r="A15" s="247" t="s">
        <v>156</v>
      </c>
      <c r="B15" s="248"/>
      <c r="C15" s="249">
        <f>'T2 ANSP'!C15+'T2 MET'!C15+'T2 NSA'!C15</f>
        <v>680672.00569445826</v>
      </c>
      <c r="D15" s="249">
        <f>'T2 ANSP'!D15+'T2 MET'!D15+'T2 NSA'!D15</f>
        <v>341333.98427958199</v>
      </c>
      <c r="E15" s="249">
        <f>'T2 ANSP'!E15+'T2 MET'!E15+'T2 NSA'!E15</f>
        <v>356690.69920918567</v>
      </c>
      <c r="F15" s="250">
        <f>'T2 ANSP'!F15+'T2 MET'!F15+'T2 NSA'!F15</f>
        <v>367966.30768527888</v>
      </c>
    </row>
    <row r="16" spans="1:6">
      <c r="A16" s="251" t="s">
        <v>157</v>
      </c>
      <c r="B16" s="252"/>
      <c r="C16" s="389"/>
      <c r="D16" s="253">
        <f>+'T1'!N65</f>
        <v>111.15895068431999</v>
      </c>
      <c r="E16" s="253">
        <f>+'T1'!O65</f>
        <v>113.38212969800639</v>
      </c>
      <c r="F16" s="254">
        <f>+'T1'!P65</f>
        <v>115.64977229196653</v>
      </c>
    </row>
    <row r="17" spans="1:6">
      <c r="A17" s="255" t="s">
        <v>158</v>
      </c>
      <c r="B17" s="256"/>
      <c r="C17" s="374"/>
      <c r="D17" s="257"/>
      <c r="E17" s="257"/>
      <c r="F17" s="258"/>
    </row>
    <row r="18" spans="1:6">
      <c r="A18" s="259" t="s">
        <v>159</v>
      </c>
      <c r="B18" s="260"/>
      <c r="C18" s="405"/>
      <c r="D18" s="261"/>
      <c r="E18" s="262"/>
      <c r="F18" s="263"/>
    </row>
    <row r="19" spans="1:6">
      <c r="A19" s="851" t="s">
        <v>160</v>
      </c>
      <c r="B19" s="852"/>
      <c r="C19" s="243"/>
      <c r="D19" s="243"/>
      <c r="E19" s="264"/>
      <c r="F19" s="265"/>
    </row>
    <row r="20" spans="1:6" ht="3" customHeight="1">
      <c r="A20" s="233"/>
      <c r="B20" s="233"/>
      <c r="C20" s="233"/>
      <c r="D20" s="233"/>
      <c r="E20" s="233"/>
      <c r="F20" s="233"/>
    </row>
    <row r="21" spans="1:6">
      <c r="A21" s="237" t="s">
        <v>161</v>
      </c>
      <c r="B21" s="238"/>
      <c r="C21" s="239"/>
      <c r="D21" s="239"/>
      <c r="E21" s="239"/>
      <c r="F21" s="240"/>
    </row>
    <row r="22" spans="1:6">
      <c r="A22" s="266" t="s">
        <v>162</v>
      </c>
      <c r="B22" s="267"/>
      <c r="C22" s="268"/>
      <c r="D22" s="268"/>
      <c r="E22" s="269"/>
      <c r="F22" s="270"/>
    </row>
    <row r="23" spans="1:6">
      <c r="A23" s="271" t="s">
        <v>163</v>
      </c>
      <c r="B23" s="272"/>
      <c r="C23" s="273"/>
      <c r="D23" s="273"/>
      <c r="E23" s="274"/>
      <c r="F23" s="275"/>
    </row>
    <row r="24" spans="1:6">
      <c r="A24" s="271" t="s">
        <v>164</v>
      </c>
      <c r="B24" s="272"/>
      <c r="C24" s="374"/>
      <c r="D24" s="374"/>
      <c r="E24" s="372"/>
      <c r="F24" s="373"/>
    </row>
    <row r="25" spans="1:6">
      <c r="A25" s="276" t="s">
        <v>165</v>
      </c>
      <c r="B25" s="272"/>
      <c r="C25" s="273"/>
      <c r="D25" s="273"/>
      <c r="E25" s="274"/>
      <c r="F25" s="275"/>
    </row>
    <row r="26" spans="1:6">
      <c r="A26" s="276" t="s">
        <v>166</v>
      </c>
      <c r="B26" s="272"/>
      <c r="C26" s="273"/>
      <c r="D26" s="273"/>
      <c r="E26" s="274"/>
      <c r="F26" s="275"/>
    </row>
    <row r="27" spans="1:6">
      <c r="A27" s="276" t="s">
        <v>167</v>
      </c>
      <c r="B27" s="272"/>
      <c r="C27" s="273"/>
      <c r="D27" s="273"/>
      <c r="E27" s="274"/>
      <c r="F27" s="275"/>
    </row>
    <row r="28" spans="1:6">
      <c r="A28" s="308" t="s">
        <v>168</v>
      </c>
      <c r="B28" s="309"/>
      <c r="C28" s="243"/>
      <c r="D28" s="243"/>
      <c r="E28" s="264"/>
      <c r="F28" s="265"/>
    </row>
    <row r="30" spans="1:6" s="236" customFormat="1">
      <c r="A30" s="234" t="s">
        <v>169</v>
      </c>
      <c r="B30" s="234"/>
      <c r="C30" s="235"/>
      <c r="D30" s="235"/>
      <c r="E30" s="235"/>
      <c r="F30" s="235"/>
    </row>
    <row r="31" spans="1:6" ht="3" customHeight="1">
      <c r="A31" s="233"/>
      <c r="B31" s="233"/>
      <c r="C31" s="233"/>
      <c r="D31" s="233"/>
      <c r="E31" s="233"/>
      <c r="F31" s="233"/>
    </row>
    <row r="32" spans="1:6">
      <c r="A32" s="237" t="s">
        <v>170</v>
      </c>
      <c r="B32" s="238"/>
      <c r="C32" s="239"/>
      <c r="D32" s="239"/>
      <c r="E32" s="239"/>
      <c r="F32" s="240"/>
    </row>
    <row r="33" spans="1:6">
      <c r="A33" s="279" t="s">
        <v>171</v>
      </c>
      <c r="B33" s="280"/>
      <c r="C33" s="249">
        <f>'T2 ANSP'!C33+'T2 MET'!C33+'T2 NSA'!C33</f>
        <v>803042.74055625754</v>
      </c>
      <c r="D33" s="249">
        <f>'T2 ANSP'!D33+'T2 MET'!D33+'T2 NSA'!D33</f>
        <v>400117.95810183743</v>
      </c>
      <c r="E33" s="249">
        <f>'T2 ANSP'!E33+'T2 MET'!E33+'T2 NSA'!E33</f>
        <v>421581.40626254876</v>
      </c>
      <c r="F33" s="250">
        <f>'T2 ANSP'!F33+'T2 MET'!F33+'T2 NSA'!F33</f>
        <v>437181.06891872274</v>
      </c>
    </row>
    <row r="34" spans="1:6">
      <c r="A34" s="281" t="s">
        <v>172</v>
      </c>
      <c r="B34" s="282"/>
      <c r="C34" s="283"/>
      <c r="D34" s="283"/>
      <c r="E34" s="283"/>
      <c r="F34" s="284"/>
    </row>
    <row r="35" spans="1:6">
      <c r="A35" s="281" t="s">
        <v>173</v>
      </c>
      <c r="B35" s="282"/>
      <c r="C35" s="283"/>
      <c r="D35" s="283"/>
      <c r="E35" s="283"/>
      <c r="F35" s="284"/>
    </row>
    <row r="36" spans="1:6">
      <c r="A36" s="281" t="s">
        <v>174</v>
      </c>
      <c r="B36" s="282"/>
      <c r="C36" s="283"/>
      <c r="D36" s="283"/>
      <c r="E36" s="283"/>
      <c r="F36" s="284"/>
    </row>
    <row r="37" spans="1:6">
      <c r="A37" s="281" t="s">
        <v>175</v>
      </c>
      <c r="B37" s="282"/>
      <c r="C37" s="283"/>
      <c r="D37" s="283"/>
      <c r="E37" s="283"/>
      <c r="F37" s="284"/>
    </row>
    <row r="38" spans="1:6">
      <c r="A38" s="255" t="s">
        <v>176</v>
      </c>
      <c r="B38" s="256"/>
      <c r="C38" s="285">
        <f>'T1'!M68</f>
        <v>273.56971650974202</v>
      </c>
      <c r="D38" s="285">
        <f>'T1'!N68</f>
        <v>204.80311130053201</v>
      </c>
      <c r="E38" s="285">
        <f>'T1'!O68</f>
        <v>240.42251109710699</v>
      </c>
      <c r="F38" s="286">
        <f>'T1'!P68</f>
        <v>258.33819951035298</v>
      </c>
    </row>
    <row r="39" spans="1:6">
      <c r="A39" s="281" t="s">
        <v>177</v>
      </c>
      <c r="B39" s="282"/>
      <c r="C39" s="287"/>
      <c r="D39" s="287"/>
      <c r="E39" s="287"/>
      <c r="F39" s="286"/>
    </row>
    <row r="40" spans="1:6">
      <c r="A40" s="288" t="s">
        <v>178</v>
      </c>
      <c r="B40" s="289"/>
      <c r="C40" s="290"/>
      <c r="D40" s="290"/>
      <c r="E40" s="291"/>
      <c r="F40" s="292"/>
    </row>
    <row r="41" spans="1:6">
      <c r="A41" s="851" t="s">
        <v>179</v>
      </c>
      <c r="B41" s="852"/>
      <c r="C41" s="243"/>
      <c r="D41" s="243"/>
      <c r="E41" s="264"/>
      <c r="F41" s="265"/>
    </row>
    <row r="42" spans="1:6" ht="3" customHeight="1">
      <c r="A42" s="233"/>
      <c r="B42" s="233"/>
      <c r="C42" s="233"/>
      <c r="D42" s="233"/>
      <c r="E42" s="233"/>
      <c r="F42" s="233"/>
    </row>
    <row r="43" spans="1:6">
      <c r="A43" s="245" t="s">
        <v>180</v>
      </c>
      <c r="B43" s="246"/>
      <c r="C43" s="239"/>
      <c r="D43" s="293"/>
      <c r="E43" s="293"/>
      <c r="F43" s="294"/>
    </row>
    <row r="44" spans="1:6">
      <c r="A44" s="295" t="s">
        <v>181</v>
      </c>
      <c r="B44" s="296"/>
      <c r="C44" s="346"/>
      <c r="D44" s="297"/>
      <c r="E44" s="298"/>
      <c r="F44" s="299"/>
    </row>
    <row r="45" spans="1:6">
      <c r="A45" s="300" t="s">
        <v>182</v>
      </c>
      <c r="B45" s="301"/>
      <c r="C45" s="346"/>
      <c r="D45" s="302"/>
      <c r="E45" s="303"/>
      <c r="F45" s="304"/>
    </row>
    <row r="46" spans="1:6">
      <c r="A46" s="308" t="s">
        <v>183</v>
      </c>
      <c r="B46" s="309"/>
      <c r="C46" s="243"/>
      <c r="D46" s="243"/>
      <c r="E46" s="264"/>
      <c r="F46" s="265"/>
    </row>
    <row r="48" spans="1:6" s="236" customFormat="1">
      <c r="A48" s="234" t="s">
        <v>184</v>
      </c>
      <c r="B48" s="234"/>
      <c r="C48" s="235"/>
      <c r="D48" s="235"/>
      <c r="E48" s="235"/>
      <c r="F48" s="235"/>
    </row>
    <row r="49" spans="1:9" ht="3" customHeight="1">
      <c r="A49" s="233"/>
      <c r="B49" s="233"/>
      <c r="C49" s="233"/>
      <c r="D49" s="233"/>
      <c r="E49" s="233"/>
      <c r="F49" s="233"/>
    </row>
    <row r="50" spans="1:9">
      <c r="A50" s="237" t="s">
        <v>185</v>
      </c>
      <c r="B50" s="238"/>
      <c r="C50" s="239"/>
      <c r="D50" s="239"/>
      <c r="E50" s="239"/>
      <c r="F50" s="240"/>
    </row>
    <row r="51" spans="1:9">
      <c r="A51" s="281" t="s">
        <v>186</v>
      </c>
      <c r="B51" s="282"/>
      <c r="C51" s="371"/>
      <c r="D51" s="273"/>
      <c r="E51" s="305"/>
      <c r="F51" s="306"/>
    </row>
    <row r="52" spans="1:9">
      <c r="A52" s="281" t="s">
        <v>187</v>
      </c>
      <c r="B52" s="282"/>
      <c r="C52" s="371"/>
      <c r="D52" s="273"/>
      <c r="E52" s="305"/>
      <c r="F52" s="306"/>
    </row>
    <row r="53" spans="1:9">
      <c r="A53" s="279" t="s">
        <v>188</v>
      </c>
      <c r="B53" s="280"/>
      <c r="C53" s="371"/>
      <c r="D53" s="273"/>
      <c r="E53" s="303"/>
      <c r="F53" s="307"/>
    </row>
    <row r="54" spans="1:9" s="312" customFormat="1">
      <c r="A54" s="308" t="s">
        <v>189</v>
      </c>
      <c r="B54" s="309"/>
      <c r="C54" s="849"/>
      <c r="D54" s="310"/>
      <c r="E54" s="310"/>
      <c r="F54" s="311"/>
    </row>
    <row r="55" spans="1:9">
      <c r="A55" s="233"/>
      <c r="B55" s="233"/>
      <c r="C55" s="233"/>
      <c r="D55" s="233"/>
      <c r="E55" s="233"/>
      <c r="F55" s="233"/>
    </row>
    <row r="56" spans="1:9" s="236" customFormat="1">
      <c r="A56" s="234" t="s">
        <v>190</v>
      </c>
      <c r="B56" s="234"/>
      <c r="C56" s="313"/>
      <c r="D56" s="313"/>
      <c r="E56" s="235"/>
      <c r="F56" s="235"/>
    </row>
    <row r="57" spans="1:9" ht="3" customHeight="1">
      <c r="A57" s="233"/>
      <c r="B57" s="233"/>
      <c r="C57" s="233"/>
      <c r="D57" s="233"/>
      <c r="E57" s="233"/>
      <c r="F57" s="233"/>
    </row>
    <row r="58" spans="1:9">
      <c r="A58" s="237" t="s">
        <v>191</v>
      </c>
      <c r="B58" s="238"/>
      <c r="C58" s="239"/>
      <c r="D58" s="239"/>
      <c r="E58" s="239"/>
      <c r="F58" s="240"/>
    </row>
    <row r="59" spans="1:9" s="316" customFormat="1">
      <c r="A59" s="308" t="s">
        <v>192</v>
      </c>
      <c r="B59" s="309"/>
      <c r="C59" s="264"/>
      <c r="D59" s="243"/>
      <c r="E59" s="314"/>
      <c r="F59" s="315"/>
    </row>
    <row r="60" spans="1:9" ht="3" customHeight="1">
      <c r="A60" s="233"/>
      <c r="B60" s="233"/>
      <c r="C60" s="233"/>
      <c r="D60" s="233"/>
      <c r="E60" s="233"/>
      <c r="F60" s="233"/>
    </row>
    <row r="61" spans="1:9">
      <c r="A61" s="237" t="s">
        <v>193</v>
      </c>
      <c r="B61" s="238"/>
      <c r="C61" s="239"/>
      <c r="D61" s="318"/>
      <c r="E61" s="239"/>
      <c r="F61" s="240"/>
    </row>
    <row r="62" spans="1:9">
      <c r="A62" s="319" t="s">
        <v>194</v>
      </c>
      <c r="B62" s="320"/>
      <c r="C62" s="918" t="s">
        <v>528</v>
      </c>
      <c r="D62" s="321"/>
      <c r="E62" s="322"/>
      <c r="F62" s="323"/>
    </row>
    <row r="63" spans="1:9">
      <c r="A63" s="324" t="s">
        <v>195</v>
      </c>
      <c r="B63" s="325"/>
      <c r="C63" s="1432">
        <f>C93*'T1'!M68-(C100*'T1'!R68+C101*'T1'!L68) -'T3'!D103-'T3'!D104-(('T3'!D103/-('T1'!R68/'T2'!C104-1)+'T3'!D104/-('T1'!L68/'T2'!C105-1))*C40)</f>
        <v>373558.80946652615</v>
      </c>
      <c r="D63" s="264"/>
      <c r="E63" s="326"/>
      <c r="F63" s="327"/>
      <c r="H63" s="1457">
        <f>((C93-('T3'!E11+'T3'!E22+'T3'!E75+'T3'!E80+'T3'!E91+'T3'!E102+'T3'!E108+'T3'!E119+'T3'!E130+'T3'!E141+'T3'!E152+'T3'!F11+'T3'!F22+'T3'!F75+'T3'!F80+'T3'!F91+'T3'!F102+'T3'!F108+'T3'!F119+'T3'!F130+'T3'!F141+'T3'!F152)/C92)*'T1'!M68)-((C100*'T2'!C104-('T3'!E11+'T3'!E22+'T3'!E75+'T3'!E80+'T3'!E91+'T3'!E102+'T3'!E108+'T3'!E119+'T3'!E130+'T3'!E141+'T3'!E152))*'T1'!R68/'T2'!C104)-((C101*'T2'!C105-('T3'!F11+'T3'!F22+'T3'!F75+'T3'!F80+'T3'!F91+'T3'!F102+'T3'!F108+'T3'!F119+'T3'!F130+'T3'!F141+'T3'!F152))*'T1'!L68/'T2'!C105)</f>
        <v>373558.80946652615</v>
      </c>
      <c r="I63" s="1457">
        <f>((C93-('T3'!E183+'T3'!F183)/C92)*'T1'!M68)-((C100*'T2'!C104-('T3'!E183))*'T1'!R68/'T2'!C104)-((C101*'T2'!C105-('T3'!F183))*'T1'!L68/'T2'!C105)</f>
        <v>373558.80946652615</v>
      </c>
    </row>
    <row r="64" spans="1:9" ht="3" customHeight="1">
      <c r="A64" s="233"/>
      <c r="B64" s="233"/>
      <c r="C64" s="233"/>
      <c r="D64" s="233"/>
      <c r="E64" s="233"/>
      <c r="F64" s="233"/>
    </row>
    <row r="65" spans="1:6">
      <c r="A65" s="237" t="s">
        <v>196</v>
      </c>
      <c r="B65" s="238"/>
      <c r="C65" s="239"/>
      <c r="D65" s="318"/>
      <c r="E65" s="239"/>
      <c r="F65" s="240"/>
    </row>
    <row r="66" spans="1:6">
      <c r="A66" s="324" t="s">
        <v>197</v>
      </c>
      <c r="B66" s="325"/>
      <c r="C66" s="946"/>
      <c r="D66" s="946"/>
      <c r="E66" s="946"/>
      <c r="F66" s="1159"/>
    </row>
    <row r="67" spans="1:6" ht="3" customHeight="1">
      <c r="A67" s="233"/>
      <c r="B67" s="233"/>
      <c r="C67" s="233"/>
      <c r="D67" s="233"/>
      <c r="E67" s="233"/>
      <c r="F67" s="233"/>
    </row>
    <row r="68" spans="1:6">
      <c r="A68" s="237" t="s">
        <v>198</v>
      </c>
      <c r="B68" s="238"/>
      <c r="C68" s="293"/>
      <c r="D68" s="328"/>
      <c r="E68" s="293"/>
      <c r="F68" s="294"/>
    </row>
    <row r="69" spans="1:6">
      <c r="A69" s="329" t="s">
        <v>199</v>
      </c>
      <c r="B69" s="330"/>
      <c r="C69" s="952">
        <f>'T2 ANSP'!C69+'T2 MET'!C69+'T2 NSA'!C69</f>
        <v>0</v>
      </c>
      <c r="D69" s="297">
        <f>'T2 ANSP'!D69+'T2 MET'!D69+'T2 NSA'!D69</f>
        <v>0</v>
      </c>
      <c r="E69" s="297">
        <f>'T2 ANSP'!E69+'T2 MET'!E69+'T2 NSA'!E69</f>
        <v>0</v>
      </c>
      <c r="F69" s="950">
        <f>'T2 ANSP'!F69+'T2 MET'!F69+'T2 NSA'!F69</f>
        <v>0</v>
      </c>
    </row>
    <row r="70" spans="1:6">
      <c r="A70" s="281" t="s">
        <v>200</v>
      </c>
      <c r="B70" s="282"/>
      <c r="C70" s="953">
        <f>'T2 ANSP'!C70+'T2 MET'!C70+'T2 NSA'!C70</f>
        <v>0</v>
      </c>
      <c r="D70" s="287">
        <f>'T2 ANSP'!D70+'T2 MET'!D70+'T2 NSA'!D70</f>
        <v>0</v>
      </c>
      <c r="E70" s="287">
        <f>'T2 ANSP'!E70+'T2 MET'!E70+'T2 NSA'!E70</f>
        <v>0</v>
      </c>
      <c r="F70" s="951">
        <f>'T2 ANSP'!F70+'T2 MET'!F70+'T2 NSA'!F70</f>
        <v>0</v>
      </c>
    </row>
    <row r="71" spans="1:6">
      <c r="A71" s="281" t="s">
        <v>201</v>
      </c>
      <c r="B71" s="282"/>
      <c r="C71" s="953">
        <f>'T2 ANSP'!C71+'T2 MET'!C71+'T2 NSA'!C71</f>
        <v>0</v>
      </c>
      <c r="D71" s="287">
        <f>'T2 ANSP'!D71+'T2 MET'!D71+'T2 NSA'!D71</f>
        <v>0</v>
      </c>
      <c r="E71" s="287">
        <f>'T2 ANSP'!E71+'T2 MET'!E71+'T2 NSA'!E71</f>
        <v>0</v>
      </c>
      <c r="F71" s="951">
        <f>'T2 ANSP'!F71+'T2 MET'!F71+'T2 NSA'!F71</f>
        <v>0</v>
      </c>
    </row>
    <row r="72" spans="1:6">
      <c r="A72" s="281" t="s">
        <v>202</v>
      </c>
      <c r="B72" s="282"/>
      <c r="C72" s="1062">
        <f>'T2 ANSP'!C72+'T2 MET'!C72+'T2 NSA'!C72</f>
        <v>0</v>
      </c>
      <c r="D72" s="1063">
        <f>'T2 ANSP'!D72+'T2 MET'!D72+'T2 NSA'!D72</f>
        <v>0</v>
      </c>
      <c r="E72" s="1063">
        <f>'T2 ANSP'!E72+'T2 MET'!E72+'T2 NSA'!E72</f>
        <v>0</v>
      </c>
      <c r="F72" s="1064">
        <f>'T2 ANSP'!F72+'T2 MET'!F72+'T2 NSA'!F72</f>
        <v>0</v>
      </c>
    </row>
    <row r="73" spans="1:6">
      <c r="A73" s="331" t="s">
        <v>203</v>
      </c>
      <c r="B73" s="332"/>
      <c r="C73" s="243">
        <f>'T2 ANSP'!C73+'T2 MET'!C73+'T2 NSA'!C73</f>
        <v>0</v>
      </c>
      <c r="D73" s="333">
        <f>'T2 ANSP'!D73+'T2 MET'!D73+'T2 NSA'!D73</f>
        <v>0</v>
      </c>
      <c r="E73" s="333">
        <f>'T2 ANSP'!E73+'T2 MET'!E73+'T2 NSA'!E73</f>
        <v>0</v>
      </c>
      <c r="F73" s="949">
        <f>'T2 ANSP'!F73+'T2 MET'!F73+'T2 NSA'!F73</f>
        <v>0</v>
      </c>
    </row>
    <row r="74" spans="1:6" ht="3" customHeight="1">
      <c r="A74" s="336"/>
      <c r="B74" s="336"/>
      <c r="C74" s="338"/>
      <c r="D74" s="233"/>
      <c r="E74" s="233"/>
      <c r="F74" s="233"/>
    </row>
    <row r="75" spans="1:6">
      <c r="A75" s="237" t="s">
        <v>204</v>
      </c>
      <c r="B75" s="238"/>
      <c r="C75" s="919" t="s">
        <v>529</v>
      </c>
      <c r="D75" s="328"/>
      <c r="E75" s="293"/>
      <c r="F75" s="294"/>
    </row>
    <row r="76" spans="1:6" s="316" customFormat="1">
      <c r="A76" s="324" t="s">
        <v>205</v>
      </c>
      <c r="B76" s="325"/>
      <c r="C76" s="243">
        <f>'T2 ANSP'!C76+'T2 MET'!C76+'T2 NSA'!C76</f>
        <v>0</v>
      </c>
      <c r="D76" s="333">
        <f>'T2 ANSP'!D76+'T2 MET'!D76+'T2 NSA'!D76</f>
        <v>0</v>
      </c>
      <c r="E76" s="333">
        <f>'T2 ANSP'!E76+'T2 MET'!E76+'T2 NSA'!E76</f>
        <v>0</v>
      </c>
      <c r="F76" s="949">
        <f>'T2 ANSP'!F76+'T2 MET'!F76+'T2 NSA'!F76</f>
        <v>0</v>
      </c>
    </row>
    <row r="77" spans="1:6" ht="10.15" customHeight="1">
      <c r="A77" s="336"/>
      <c r="B77" s="336"/>
      <c r="C77" s="337"/>
      <c r="D77" s="337"/>
      <c r="E77" s="338"/>
      <c r="F77" s="338"/>
    </row>
    <row r="78" spans="1:6">
      <c r="A78" s="339" t="s">
        <v>206</v>
      </c>
      <c r="B78" s="340"/>
      <c r="C78" s="341">
        <f>'T2 ANSP'!C78+'T2 MET'!C78+'T2 NSA'!C78</f>
        <v>373558.8094665262</v>
      </c>
      <c r="D78" s="341">
        <f>'T2 ANSP'!D78+'T2 MET'!D78+'T2 NSA'!D78</f>
        <v>0</v>
      </c>
      <c r="E78" s="341">
        <f>'T2 ANSP'!E78+'T2 MET'!E78+'T2 NSA'!E78</f>
        <v>0</v>
      </c>
      <c r="F78" s="954">
        <f>'T2 ANSP'!F78+'T2 MET'!F78+'T2 NSA'!F78</f>
        <v>0</v>
      </c>
    </row>
    <row r="79" spans="1:6">
      <c r="A79" s="342"/>
      <c r="B79" s="233"/>
      <c r="C79" s="343"/>
      <c r="D79" s="343"/>
      <c r="E79" s="343"/>
      <c r="F79" s="343"/>
    </row>
    <row r="80" spans="1:6" ht="12.75" customHeight="1">
      <c r="A80" s="1511" t="s">
        <v>207</v>
      </c>
      <c r="B80" s="1512"/>
      <c r="C80" s="231" t="s">
        <v>498</v>
      </c>
      <c r="D80" s="231">
        <v>2022</v>
      </c>
      <c r="E80" s="231">
        <v>2023</v>
      </c>
      <c r="F80" s="232">
        <v>2024</v>
      </c>
    </row>
    <row r="81" spans="1:12">
      <c r="A81" s="266" t="s">
        <v>208</v>
      </c>
      <c r="B81" s="267"/>
      <c r="C81" s="344">
        <f>'T2 ANSP'!C81+'T2 MET'!C81+'T2 NSA'!C81</f>
        <v>820743.29255454754</v>
      </c>
      <c r="D81" s="344">
        <f>'T2 ANSP'!D81+'T2 MET'!D81+'T2 NSA'!D81</f>
        <v>409243.45930119324</v>
      </c>
      <c r="E81" s="344">
        <f>'T2 ANSP'!E81+'T2 MET'!E81+'T2 NSA'!E81</f>
        <v>430889.41748589167</v>
      </c>
      <c r="F81" s="345">
        <f>'T2 ANSP'!F81+'T2 MET'!F81+'T2 NSA'!F81</f>
        <v>446675.24036653247</v>
      </c>
      <c r="H81" s="575"/>
      <c r="I81" s="575"/>
      <c r="J81" s="575"/>
      <c r="K81" s="575"/>
      <c r="L81" s="575"/>
    </row>
    <row r="82" spans="1:12">
      <c r="A82" s="255" t="s">
        <v>209</v>
      </c>
      <c r="B82" s="256"/>
      <c r="C82" s="346">
        <f>'T2 ANSP'!C82+'T2 MET'!C82+'T2 NSA'!C82</f>
        <v>23987.492768588421</v>
      </c>
      <c r="D82" s="346">
        <f>'T2 ANSP'!D82+'T2 MET'!D82+'T2 NSA'!D82</f>
        <v>0</v>
      </c>
      <c r="E82" s="346">
        <f>'T2 ANSP'!E82+'T2 MET'!E82+'T2 NSA'!E82</f>
        <v>0</v>
      </c>
      <c r="F82" s="347">
        <f>'T2 ANSP'!F82+'T2 MET'!F82+'T2 NSA'!F82</f>
        <v>0</v>
      </c>
    </row>
    <row r="83" spans="1:12">
      <c r="A83" s="255" t="s">
        <v>210</v>
      </c>
      <c r="B83" s="256"/>
      <c r="C83" s="346">
        <f>'T2 ANSP'!C83+'T2 MET'!C83+'T2 NSA'!C83</f>
        <v>66819.638238262196</v>
      </c>
      <c r="D83" s="346">
        <f>'T2 ANSP'!D83+'T2 MET'!D83+'T2 NSA'!D83</f>
        <v>0</v>
      </c>
      <c r="E83" s="346">
        <f>'T2 ANSP'!E83+'T2 MET'!E83+'T2 NSA'!E83</f>
        <v>0</v>
      </c>
      <c r="F83" s="347">
        <f>'T2 ANSP'!F83+'T2 MET'!F83+'T2 NSA'!F83</f>
        <v>0</v>
      </c>
    </row>
    <row r="84" spans="1:12">
      <c r="A84" s="348" t="s">
        <v>211</v>
      </c>
      <c r="B84" s="282"/>
      <c r="C84" s="346">
        <f>'T2 ANSP'!C84+'T2 MET'!C84+'T2 NSA'!C84</f>
        <v>0</v>
      </c>
      <c r="D84" s="346">
        <f>'T2 ANSP'!D84+'T2 MET'!D84+'T2 NSA'!D84</f>
        <v>0</v>
      </c>
      <c r="E84" s="346">
        <f>'T2 ANSP'!E84+'T2 MET'!E84+'T2 NSA'!E84</f>
        <v>0</v>
      </c>
      <c r="F84" s="347">
        <f>'T2 ANSP'!F84+'T2 MET'!F84+'T2 NSA'!F84</f>
        <v>0</v>
      </c>
    </row>
    <row r="85" spans="1:12">
      <c r="A85" s="348" t="s">
        <v>212</v>
      </c>
      <c r="B85" s="282"/>
      <c r="C85" s="346">
        <f>'T2 ANSP'!C85+'T2 MET'!C85+'T2 NSA'!C85</f>
        <v>9496.2781778214812</v>
      </c>
      <c r="D85" s="346">
        <f>'T2 ANSP'!D85+'T2 MET'!D85+'T2 NSA'!D85</f>
        <v>0</v>
      </c>
      <c r="E85" s="346">
        <f>'T2 ANSP'!E85+'T2 MET'!E85+'T2 NSA'!E85</f>
        <v>0</v>
      </c>
      <c r="F85" s="347">
        <f>'T2 ANSP'!F85+'T2 MET'!F85+'T2 NSA'!F85</f>
        <v>0</v>
      </c>
    </row>
    <row r="86" spans="1:12">
      <c r="A86" s="348" t="s">
        <v>213</v>
      </c>
      <c r="B86" s="282"/>
      <c r="C86" s="346">
        <f>'T2 ANSP'!C86+'T2 MET'!C86+'T2 NSA'!C86</f>
        <v>0</v>
      </c>
      <c r="D86" s="346">
        <f>'T2 ANSP'!D86+'T2 MET'!D86+'T2 NSA'!D86</f>
        <v>0</v>
      </c>
      <c r="E86" s="346">
        <f>'T2 ANSP'!E86+'T2 MET'!E86+'T2 NSA'!E86</f>
        <v>0</v>
      </c>
      <c r="F86" s="347">
        <f>'T2 ANSP'!F86+'T2 MET'!F86+'T2 NSA'!F86</f>
        <v>0</v>
      </c>
    </row>
    <row r="87" spans="1:12">
      <c r="A87" s="348" t="s">
        <v>214</v>
      </c>
      <c r="B87" s="282"/>
      <c r="C87" s="346">
        <f>'T2 ANSP'!C87+'T2 MET'!C87+'T2 NSA'!C87</f>
        <v>14907.999204890462</v>
      </c>
      <c r="D87" s="346">
        <f>'T2 ANSP'!D87+'T2 MET'!D87+'T2 NSA'!D87</f>
        <v>25426.390125546048</v>
      </c>
      <c r="E87" s="1433">
        <f>'T2 ANSP'!E87+'T2 MET'!E87+'T2 NSA'!E87</f>
        <v>30948.24689305641</v>
      </c>
      <c r="F87" s="347">
        <f>'T2 ANSP'!F87+'T2 MET'!F87+'T2 NSA'!F87</f>
        <v>0</v>
      </c>
    </row>
    <row r="88" spans="1:12">
      <c r="A88" s="279" t="s">
        <v>215</v>
      </c>
      <c r="B88" s="280"/>
      <c r="C88" s="346">
        <f>'T2 ANSP'!C88+'T2 MET'!C88+'T2 NSA'!C88</f>
        <v>0</v>
      </c>
      <c r="D88" s="346">
        <f>'T2 ANSP'!D88+'T2 MET'!D88+'T2 NSA'!D88</f>
        <v>0</v>
      </c>
      <c r="E88" s="346">
        <f>'T2 ANSP'!E88+'T2 MET'!E88+'T2 NSA'!E88</f>
        <v>0</v>
      </c>
      <c r="F88" s="347">
        <f>'T2 ANSP'!F88+'T2 MET'!F88+'T2 NSA'!F88</f>
        <v>0</v>
      </c>
      <c r="G88" s="1461">
        <f>D88*1000</f>
        <v>0</v>
      </c>
    </row>
    <row r="89" spans="1:12">
      <c r="A89" s="279" t="s">
        <v>216</v>
      </c>
      <c r="B89" s="280"/>
      <c r="C89" s="346">
        <f>'T2 ANSP'!C89+'T2 MET'!C89+'T2 NSA'!C89</f>
        <v>0</v>
      </c>
      <c r="D89" s="346">
        <f>'T2 ANSP'!D89+'T2 MET'!D89+'T2 NSA'!D89</f>
        <v>0</v>
      </c>
      <c r="E89" s="346">
        <f>'T2 ANSP'!E89+'T2 MET'!E89+'T2 NSA'!E89</f>
        <v>0</v>
      </c>
      <c r="F89" s="347">
        <f>'T2 ANSP'!F89+'T2 MET'!F89+'T2 NSA'!F89</f>
        <v>0</v>
      </c>
    </row>
    <row r="90" spans="1:12">
      <c r="A90" s="348" t="s">
        <v>217</v>
      </c>
      <c r="B90" s="349"/>
      <c r="C90" s="350">
        <f>'T2 ANSP'!C90+'T2 MET'!C90+'T2 NSA'!C90</f>
        <v>0</v>
      </c>
      <c r="D90" s="350">
        <f>'T2 ANSP'!D90+'T2 MET'!D90+'T2 NSA'!D90</f>
        <v>0</v>
      </c>
      <c r="E90" s="1434">
        <f>'T2 ANSP'!E90+'T2 MET'!E90+'T2 NSA'!E90</f>
        <v>0</v>
      </c>
      <c r="F90" s="1435">
        <f>'T2 ANSP'!F90+'T2 MET'!F90+'T2 NSA'!F90</f>
        <v>0</v>
      </c>
    </row>
    <row r="91" spans="1:12">
      <c r="A91" s="351" t="s">
        <v>218</v>
      </c>
      <c r="B91" s="352"/>
      <c r="C91" s="353">
        <f>'T2 ANSP'!C91+'T2 MET'!C91+'T2 NSA'!C91</f>
        <v>935954.70094410994</v>
      </c>
      <c r="D91" s="353">
        <f>'T2 ANSP'!D91+'T2 MET'!D91+'T2 NSA'!D91</f>
        <v>434669.84942673927</v>
      </c>
      <c r="E91" s="353">
        <f>'T2 ANSP'!E91+'T2 MET'!E91+'T2 NSA'!E91</f>
        <v>461837.6643789481</v>
      </c>
      <c r="F91" s="353">
        <f>'T2 ANSP'!F91+'T2 MET'!F91+'T2 NSA'!F91</f>
        <v>446675.24036653247</v>
      </c>
    </row>
    <row r="92" spans="1:12">
      <c r="A92" s="277" t="s">
        <v>219</v>
      </c>
      <c r="B92" s="278"/>
      <c r="C92" s="311">
        <f>'T1'!M68</f>
        <v>273.56971650974202</v>
      </c>
      <c r="D92" s="311">
        <f>'T1'!N68</f>
        <v>204.80311130053201</v>
      </c>
      <c r="E92" s="311">
        <f>'T1'!O68</f>
        <v>240.42251109710699</v>
      </c>
      <c r="F92" s="311">
        <f>'T1'!P68</f>
        <v>258.33819951035298</v>
      </c>
    </row>
    <row r="93" spans="1:12">
      <c r="A93" s="277" t="s">
        <v>220</v>
      </c>
      <c r="B93" s="278"/>
      <c r="C93" s="354">
        <f>C91/C92</f>
        <v>3421.2657485821533</v>
      </c>
      <c r="D93" s="354">
        <f t="shared" ref="D93:F93" si="0">D91/D92</f>
        <v>2122.3791311885707</v>
      </c>
      <c r="E93" s="354">
        <f t="shared" si="0"/>
        <v>1920.9418547018304</v>
      </c>
      <c r="F93" s="354">
        <f t="shared" si="0"/>
        <v>1729.0328771089535</v>
      </c>
    </row>
    <row r="94" spans="1:12">
      <c r="A94" s="277" t="s">
        <v>221</v>
      </c>
      <c r="B94" s="278"/>
      <c r="C94" s="354">
        <f>'T2 ANSP'!C94+'T2 MET'!C94+'T2 NSA'!C94</f>
        <v>-1571.5681251942171</v>
      </c>
      <c r="D94" s="354">
        <f>'T2 ANSP'!D94+'T2 MET'!D94+'T2 NSA'!D94+'T2 NSA'!D100</f>
        <v>-200.79395952704678</v>
      </c>
      <c r="E94" s="354">
        <f>'T2 ANSP'!E94+'T2 MET'!E94+'T2 NSA'!E94</f>
        <v>0</v>
      </c>
      <c r="F94" s="354">
        <f>'T2 ANSP'!F94+'T2 MET'!F94+'T2 NSA'!F94</f>
        <v>0</v>
      </c>
    </row>
    <row r="95" spans="1:12">
      <c r="A95" s="336"/>
      <c r="B95" s="336"/>
      <c r="C95" s="337"/>
      <c r="D95" s="338"/>
      <c r="E95" s="338"/>
      <c r="F95" s="338"/>
    </row>
    <row r="96" spans="1:12">
      <c r="A96" s="357" t="s">
        <v>222</v>
      </c>
      <c r="B96" s="340"/>
      <c r="C96" s="358">
        <f>+C93+C94</f>
        <v>1849.6976233879361</v>
      </c>
      <c r="D96" s="358">
        <f>+D93+D94</f>
        <v>1921.5851716615239</v>
      </c>
      <c r="E96" s="358">
        <f>+E93+E94</f>
        <v>1920.9418547018304</v>
      </c>
      <c r="F96" s="560">
        <f>+F93+F94</f>
        <v>1729.0328771089535</v>
      </c>
    </row>
    <row r="97" spans="1:7" s="360" customFormat="1">
      <c r="A97" s="1478"/>
      <c r="B97" s="233"/>
      <c r="C97" s="359"/>
      <c r="D97" s="1462">
        <f>+C101+C101*1.9%</f>
        <v>1921.5851716615234</v>
      </c>
      <c r="E97" s="362"/>
      <c r="F97" s="362"/>
      <c r="G97" s="222"/>
    </row>
    <row r="98" spans="1:7" s="236" customFormat="1" ht="15">
      <c r="A98" s="925" t="s">
        <v>223</v>
      </c>
      <c r="B98" s="361"/>
      <c r="C98" s="362"/>
      <c r="D98" s="362"/>
      <c r="E98" s="1443" t="s">
        <v>722</v>
      </c>
      <c r="F98" s="1444"/>
    </row>
    <row r="99" spans="1:7" s="236" customFormat="1" ht="13.15" customHeight="1">
      <c r="A99" s="363" t="s">
        <v>224</v>
      </c>
      <c r="B99" s="361"/>
      <c r="C99" s="364"/>
      <c r="D99" s="362"/>
      <c r="E99" s="1445" t="s">
        <v>723</v>
      </c>
      <c r="F99" s="1446"/>
    </row>
    <row r="100" spans="1:7" s="236" customFormat="1" ht="13.15" customHeight="1">
      <c r="A100" s="848" t="s">
        <v>714</v>
      </c>
      <c r="B100" s="361"/>
      <c r="C100" s="920">
        <v>1812.3213486521227</v>
      </c>
      <c r="D100" s="362"/>
      <c r="E100" s="1445" t="s">
        <v>724</v>
      </c>
      <c r="F100" s="1446"/>
    </row>
    <row r="101" spans="1:7" s="236" customFormat="1" ht="13.15" customHeight="1">
      <c r="A101" s="848" t="s">
        <v>715</v>
      </c>
      <c r="B101" s="361"/>
      <c r="C101" s="920">
        <v>1885.755811247815</v>
      </c>
      <c r="D101" s="362"/>
      <c r="E101" s="1447" t="s">
        <v>725</v>
      </c>
      <c r="F101" s="1448"/>
    </row>
    <row r="102" spans="1:7" s="236" customFormat="1">
      <c r="A102" s="848" t="s">
        <v>716</v>
      </c>
      <c r="B102" s="233"/>
      <c r="C102" s="920">
        <v>0</v>
      </c>
      <c r="D102" s="364"/>
      <c r="E102" s="364"/>
      <c r="F102" s="233"/>
    </row>
    <row r="103" spans="1:7" s="236" customFormat="1">
      <c r="A103" s="848" t="s">
        <v>717</v>
      </c>
      <c r="B103" s="233"/>
      <c r="C103" s="920">
        <v>0</v>
      </c>
      <c r="D103" s="233"/>
      <c r="E103" s="233"/>
      <c r="F103" s="233"/>
    </row>
    <row r="104" spans="1:7" s="236" customFormat="1">
      <c r="A104" s="848" t="s">
        <v>718</v>
      </c>
      <c r="B104" s="233"/>
      <c r="C104" s="1392">
        <v>267.07283576934418</v>
      </c>
      <c r="D104" s="233"/>
      <c r="E104" s="233"/>
      <c r="F104" s="233"/>
    </row>
    <row r="105" spans="1:7" s="236" customFormat="1">
      <c r="A105" s="848" t="s">
        <v>719</v>
      </c>
      <c r="B105" s="233"/>
      <c r="C105" s="1392">
        <v>269.40288544328956</v>
      </c>
      <c r="D105" s="233"/>
      <c r="E105" s="233"/>
      <c r="F105" s="233"/>
    </row>
    <row r="106" spans="1:7" s="236" customFormat="1">
      <c r="A106" s="925" t="s">
        <v>547</v>
      </c>
      <c r="B106" s="361"/>
      <c r="C106" s="362"/>
      <c r="D106" s="362"/>
      <c r="E106" s="362"/>
      <c r="F106" s="362"/>
    </row>
    <row r="109" spans="1:7" ht="13.5" thickBot="1">
      <c r="C109" s="1463" t="s">
        <v>498</v>
      </c>
    </row>
    <row r="110" spans="1:7">
      <c r="A110" s="1513" t="s">
        <v>730</v>
      </c>
      <c r="B110" s="1515" t="s">
        <v>746</v>
      </c>
      <c r="C110" s="1517">
        <f>-C94*C92</f>
        <v>429933.44648512872</v>
      </c>
    </row>
    <row r="111" spans="1:7" ht="13.5" thickBot="1">
      <c r="A111" s="1514"/>
      <c r="B111" s="1516"/>
      <c r="C111" s="1518"/>
    </row>
    <row r="112" spans="1:7" ht="13.5" thickBot="1">
      <c r="A112" s="1464"/>
      <c r="B112" s="1465" t="s">
        <v>731</v>
      </c>
    </row>
    <row r="113" spans="1:5">
      <c r="A113" s="1466" t="s">
        <v>732</v>
      </c>
      <c r="B113" s="1467" t="s">
        <v>733</v>
      </c>
      <c r="C113" s="1468">
        <f>+C63</f>
        <v>373558.80946652615</v>
      </c>
      <c r="D113" s="222" t="s">
        <v>747</v>
      </c>
    </row>
    <row r="114" spans="1:5" ht="13.5" thickBot="1">
      <c r="A114" s="1466" t="s">
        <v>734</v>
      </c>
      <c r="B114" s="1469" t="s">
        <v>735</v>
      </c>
      <c r="C114" s="1470">
        <f>+D87+E87</f>
        <v>56374.637018602458</v>
      </c>
      <c r="D114" s="222" t="s">
        <v>736</v>
      </c>
    </row>
    <row r="115" spans="1:5" ht="13.5" thickBot="1">
      <c r="A115" s="1466" t="s">
        <v>737</v>
      </c>
      <c r="B115" s="1471" t="s">
        <v>738</v>
      </c>
      <c r="C115" s="1476">
        <f>+C113+C114</f>
        <v>429933.4464851286</v>
      </c>
      <c r="D115" s="222" t="s">
        <v>739</v>
      </c>
    </row>
    <row r="116" spans="1:5" ht="13.5" thickBot="1">
      <c r="A116" s="1464"/>
      <c r="C116" s="1472"/>
    </row>
    <row r="117" spans="1:5" ht="13.5" thickBot="1">
      <c r="A117" s="1464" t="s">
        <v>740</v>
      </c>
      <c r="B117" s="1473" t="s">
        <v>741</v>
      </c>
      <c r="C117" s="1474">
        <f>-+D94*D92</f>
        <v>41123.227641492282</v>
      </c>
      <c r="D117" s="1475"/>
      <c r="E117" s="224" t="s">
        <v>742</v>
      </c>
    </row>
    <row r="118" spans="1:5" ht="13.5" thickBot="1">
      <c r="A118" s="1464"/>
    </row>
    <row r="119" spans="1:5" ht="13.5" thickBot="1">
      <c r="A119" s="1464" t="s">
        <v>743</v>
      </c>
      <c r="B119" s="1473" t="s">
        <v>744</v>
      </c>
      <c r="C119" s="1474">
        <f>+C113+C117</f>
        <v>414682.03710801841</v>
      </c>
      <c r="D119" s="224" t="s">
        <v>745</v>
      </c>
    </row>
  </sheetData>
  <mergeCells count="7">
    <mergeCell ref="A1:F1"/>
    <mergeCell ref="C5:F5"/>
    <mergeCell ref="A7:B7"/>
    <mergeCell ref="A80:B80"/>
    <mergeCell ref="A110:A111"/>
    <mergeCell ref="B110:B111"/>
    <mergeCell ref="C110:C111"/>
  </mergeCells>
  <printOptions horizontalCentered="1"/>
  <pageMargins left="0.70866141732283472" right="0.70866141732283472" top="0.74803149606299213" bottom="0.74803149606299213" header="0.31496062992125984" footer="0.31496062992125984"/>
  <pageSetup paperSize="9" scale="6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pageSetUpPr fitToPage="1"/>
  </sheetPr>
  <dimension ref="A1:J104"/>
  <sheetViews>
    <sheetView showGridLines="0" zoomScale="120" zoomScaleNormal="120" workbookViewId="0">
      <selection activeCell="H92" sqref="H92"/>
    </sheetView>
  </sheetViews>
  <sheetFormatPr baseColWidth="10" defaultColWidth="8.7109375" defaultRowHeight="12.75"/>
  <cols>
    <col min="1" max="1" width="24" style="224" customWidth="1"/>
    <col min="2" max="2" width="49.5703125" style="224" customWidth="1"/>
    <col min="3" max="6" width="12.5703125" style="224" customWidth="1"/>
    <col min="7" max="7" width="8.7109375" style="222"/>
    <col min="8" max="9" width="10.140625" style="222" bestFit="1" customWidth="1"/>
    <col min="10" max="16384" width="8.7109375" style="222"/>
  </cols>
  <sheetData>
    <row r="1" spans="1:10">
      <c r="A1" s="1508" t="s">
        <v>149</v>
      </c>
      <c r="B1" s="1508"/>
      <c r="C1" s="1508"/>
      <c r="D1" s="1508"/>
      <c r="E1" s="1508"/>
      <c r="F1" s="1508"/>
    </row>
    <row r="2" spans="1:10">
      <c r="A2" s="223"/>
      <c r="B2" s="223"/>
      <c r="F2" s="225"/>
    </row>
    <row r="3" spans="1:10">
      <c r="A3" s="226" t="str">
        <f>'T1 ANSP'!A3</f>
        <v>Norway - TCZ</v>
      </c>
      <c r="B3" s="227"/>
      <c r="C3" s="222"/>
      <c r="D3" s="228"/>
      <c r="E3" s="222"/>
      <c r="F3" s="222"/>
    </row>
    <row r="4" spans="1:10">
      <c r="A4" s="229" t="str">
        <f>'T1 ANSP'!A4</f>
        <v>Currency: NOK</v>
      </c>
      <c r="B4" s="227"/>
      <c r="C4" s="222"/>
      <c r="D4" s="228"/>
      <c r="E4" s="222"/>
      <c r="F4" s="222"/>
    </row>
    <row r="5" spans="1:10">
      <c r="A5" s="230" t="str">
        <f>'T1 ANSP'!A5</f>
        <v>Avinor ANS</v>
      </c>
      <c r="B5" s="853"/>
      <c r="C5" s="1509" t="s">
        <v>150</v>
      </c>
      <c r="D5" s="1509"/>
      <c r="E5" s="1509"/>
      <c r="F5" s="1510"/>
    </row>
    <row r="6" spans="1:10">
      <c r="A6" s="227"/>
      <c r="B6" s="227"/>
    </row>
    <row r="7" spans="1:10">
      <c r="A7" s="1511" t="s">
        <v>151</v>
      </c>
      <c r="B7" s="1512"/>
      <c r="C7" s="231" t="s">
        <v>498</v>
      </c>
      <c r="D7" s="231">
        <v>2022</v>
      </c>
      <c r="E7" s="231">
        <v>2023</v>
      </c>
      <c r="F7" s="232">
        <v>2024</v>
      </c>
    </row>
    <row r="8" spans="1:10">
      <c r="A8" s="233"/>
      <c r="B8" s="233"/>
      <c r="C8" s="233"/>
      <c r="D8" s="233"/>
      <c r="E8" s="233"/>
      <c r="F8" s="233"/>
    </row>
    <row r="9" spans="1:10" s="236" customFormat="1">
      <c r="A9" s="234" t="s">
        <v>152</v>
      </c>
      <c r="B9" s="234"/>
      <c r="C9" s="235"/>
      <c r="D9" s="235"/>
      <c r="E9" s="235"/>
      <c r="F9" s="235"/>
    </row>
    <row r="10" spans="1:10" ht="3" customHeight="1">
      <c r="A10" s="233"/>
      <c r="B10" s="233"/>
      <c r="C10" s="233"/>
      <c r="D10" s="233"/>
      <c r="E10" s="233"/>
      <c r="F10" s="233"/>
    </row>
    <row r="11" spans="1:10">
      <c r="A11" s="237" t="s">
        <v>153</v>
      </c>
      <c r="B11" s="238"/>
      <c r="C11" s="239"/>
      <c r="D11" s="239"/>
      <c r="E11" s="239"/>
      <c r="F11" s="240"/>
    </row>
    <row r="12" spans="1:10">
      <c r="A12" s="241" t="s">
        <v>154</v>
      </c>
      <c r="B12" s="242"/>
      <c r="C12" s="365">
        <f>'T1 ANSP'!M61</f>
        <v>803042.74055625754</v>
      </c>
      <c r="D12" s="365">
        <f>+'T1 ANSP'!N61</f>
        <v>400117.95810183743</v>
      </c>
      <c r="E12" s="365">
        <f>+'T1 ANSP'!O61</f>
        <v>421581.40626254876</v>
      </c>
      <c r="F12" s="366">
        <f>+'T1 ANSP'!P61</f>
        <v>437181.06891872274</v>
      </c>
    </row>
    <row r="13" spans="1:10" ht="3" customHeight="1">
      <c r="A13" s="233"/>
      <c r="B13" s="233"/>
      <c r="C13" s="317"/>
      <c r="D13" s="317"/>
      <c r="E13" s="317"/>
      <c r="F13" s="317"/>
    </row>
    <row r="14" spans="1:10">
      <c r="A14" s="245" t="s">
        <v>155</v>
      </c>
      <c r="B14" s="246"/>
      <c r="C14" s="318"/>
      <c r="D14" s="318"/>
      <c r="E14" s="318"/>
      <c r="F14" s="367"/>
    </row>
    <row r="15" spans="1:10">
      <c r="A15" s="247" t="s">
        <v>156</v>
      </c>
      <c r="B15" s="248"/>
      <c r="C15" s="249">
        <f>'T1 ANSP'!M61-'T1 ANSP'!M15-'T1 ANSP'!M16</f>
        <v>664638.31956946326</v>
      </c>
      <c r="D15" s="249">
        <f>'T1 ANSP'!N61-'T1 ANSP'!N15-'T1 ANSP'!N16</f>
        <v>333067.83405003708</v>
      </c>
      <c r="E15" s="249">
        <f>'T1 ANSP'!O61-'T1 ANSP'!O15-'T1 ANSP'!O16</f>
        <v>348259.22597504989</v>
      </c>
      <c r="F15" s="250">
        <f>'T1 ANSP'!P61-'T1 ANSP'!P15-'T1 ANSP'!P16</f>
        <v>359366.20498646039</v>
      </c>
      <c r="G15" s="360"/>
      <c r="H15" s="360"/>
      <c r="I15" s="360"/>
      <c r="J15" s="360"/>
    </row>
    <row r="16" spans="1:10">
      <c r="A16" s="251" t="s">
        <v>157</v>
      </c>
      <c r="B16" s="252"/>
      <c r="C16" s="389"/>
      <c r="D16" s="249">
        <f>+'T1 ANSP'!N65</f>
        <v>111.15895068431999</v>
      </c>
      <c r="E16" s="249">
        <f>+'T1 ANSP'!O65</f>
        <v>113.38212969800639</v>
      </c>
      <c r="F16" s="250">
        <f>+'T1 ANSP'!P65</f>
        <v>115.64977229196653</v>
      </c>
    </row>
    <row r="17" spans="1:6">
      <c r="A17" s="255" t="s">
        <v>158</v>
      </c>
      <c r="B17" s="256"/>
      <c r="C17" s="374"/>
      <c r="D17" s="273"/>
      <c r="E17" s="273"/>
      <c r="F17" s="368"/>
    </row>
    <row r="18" spans="1:6">
      <c r="A18" s="259" t="s">
        <v>159</v>
      </c>
      <c r="B18" s="260"/>
      <c r="C18" s="405"/>
      <c r="D18" s="261"/>
      <c r="E18" s="262"/>
      <c r="F18" s="263"/>
    </row>
    <row r="19" spans="1:6">
      <c r="A19" s="851" t="s">
        <v>160</v>
      </c>
      <c r="B19" s="852"/>
      <c r="C19" s="243"/>
      <c r="D19" s="333"/>
      <c r="E19" s="264"/>
      <c r="F19" s="265"/>
    </row>
    <row r="20" spans="1:6" ht="3" customHeight="1">
      <c r="A20" s="233"/>
      <c r="B20" s="233"/>
      <c r="C20" s="233"/>
      <c r="D20" s="233"/>
      <c r="E20" s="233"/>
      <c r="F20" s="233"/>
    </row>
    <row r="21" spans="1:6">
      <c r="A21" s="237" t="s">
        <v>161</v>
      </c>
      <c r="B21" s="238"/>
      <c r="C21" s="239"/>
      <c r="D21" s="239"/>
      <c r="E21" s="239"/>
      <c r="F21" s="240"/>
    </row>
    <row r="22" spans="1:6">
      <c r="A22" s="266" t="s">
        <v>162</v>
      </c>
      <c r="B22" s="267"/>
      <c r="C22" s="268"/>
      <c r="D22" s="370"/>
      <c r="E22" s="269"/>
      <c r="F22" s="270"/>
    </row>
    <row r="23" spans="1:6">
      <c r="A23" s="271" t="s">
        <v>163</v>
      </c>
      <c r="B23" s="272"/>
      <c r="C23" s="374"/>
      <c r="D23" s="371"/>
      <c r="E23" s="372"/>
      <c r="F23" s="373"/>
    </row>
    <row r="24" spans="1:6">
      <c r="A24" s="271" t="s">
        <v>164</v>
      </c>
      <c r="B24" s="272"/>
      <c r="C24" s="374"/>
      <c r="D24" s="374"/>
      <c r="E24" s="372"/>
      <c r="F24" s="373"/>
    </row>
    <row r="25" spans="1:6">
      <c r="A25" s="276" t="s">
        <v>165</v>
      </c>
      <c r="B25" s="272"/>
      <c r="C25" s="273"/>
      <c r="D25" s="376"/>
      <c r="E25" s="274"/>
      <c r="F25" s="275"/>
    </row>
    <row r="26" spans="1:6">
      <c r="A26" s="276" t="s">
        <v>166</v>
      </c>
      <c r="B26" s="272"/>
      <c r="C26" s="273"/>
      <c r="D26" s="376"/>
      <c r="E26" s="274"/>
      <c r="F26" s="275"/>
    </row>
    <row r="27" spans="1:6">
      <c r="A27" s="276" t="s">
        <v>167</v>
      </c>
      <c r="B27" s="272"/>
      <c r="C27" s="273"/>
      <c r="D27" s="376"/>
      <c r="E27" s="274"/>
      <c r="F27" s="275"/>
    </row>
    <row r="28" spans="1:6">
      <c r="A28" s="308" t="s">
        <v>168</v>
      </c>
      <c r="B28" s="309"/>
      <c r="C28" s="243"/>
      <c r="D28" s="333"/>
      <c r="E28" s="264"/>
      <c r="F28" s="265"/>
    </row>
    <row r="29" spans="1:6" ht="10.9" customHeight="1"/>
    <row r="30" spans="1:6" s="236" customFormat="1">
      <c r="A30" s="234" t="s">
        <v>169</v>
      </c>
      <c r="B30" s="234"/>
      <c r="C30" s="235"/>
      <c r="D30" s="235"/>
      <c r="E30" s="235"/>
      <c r="F30" s="235"/>
    </row>
    <row r="31" spans="1:6" ht="1.9" customHeight="1">
      <c r="A31" s="233"/>
      <c r="B31" s="233"/>
      <c r="C31" s="233"/>
      <c r="D31" s="233"/>
      <c r="E31" s="233"/>
      <c r="F31" s="233"/>
    </row>
    <row r="32" spans="1:6">
      <c r="A32" s="237" t="s">
        <v>170</v>
      </c>
      <c r="B32" s="238"/>
      <c r="C32" s="239"/>
      <c r="D32" s="239"/>
      <c r="E32" s="239"/>
      <c r="F32" s="240"/>
    </row>
    <row r="33" spans="1:6">
      <c r="A33" s="279" t="s">
        <v>171</v>
      </c>
      <c r="B33" s="280"/>
      <c r="C33" s="249">
        <f>'T1 ANSP'!M61-'T1 ANSP'!M28</f>
        <v>803042.74055625754</v>
      </c>
      <c r="D33" s="249">
        <f>'T1 ANSP'!N61-'T1 ANSP'!N28</f>
        <v>400117.95810183743</v>
      </c>
      <c r="E33" s="249">
        <f>'T1 ANSP'!O61-'T1 ANSP'!O28</f>
        <v>421581.40626254876</v>
      </c>
      <c r="F33" s="250">
        <f>'T1 ANSP'!P61-'T1 ANSP'!P28</f>
        <v>437181.06891872274</v>
      </c>
    </row>
    <row r="34" spans="1:6">
      <c r="A34" s="281" t="s">
        <v>172</v>
      </c>
      <c r="B34" s="282"/>
      <c r="C34" s="377">
        <v>0.02</v>
      </c>
      <c r="D34" s="377">
        <v>0.02</v>
      </c>
      <c r="E34" s="377">
        <v>0.02</v>
      </c>
      <c r="F34" s="306">
        <v>0.02</v>
      </c>
    </row>
    <row r="35" spans="1:6">
      <c r="A35" s="281" t="s">
        <v>173</v>
      </c>
      <c r="B35" s="282"/>
      <c r="C35" s="377">
        <v>0.7</v>
      </c>
      <c r="D35" s="377">
        <v>0.7</v>
      </c>
      <c r="E35" s="377">
        <v>0.7</v>
      </c>
      <c r="F35" s="306">
        <v>0.7</v>
      </c>
    </row>
    <row r="36" spans="1:6">
      <c r="A36" s="281" t="s">
        <v>174</v>
      </c>
      <c r="B36" s="282"/>
      <c r="C36" s="377">
        <v>0.7</v>
      </c>
      <c r="D36" s="377">
        <v>0.7</v>
      </c>
      <c r="E36" s="377">
        <v>0.7</v>
      </c>
      <c r="F36" s="306">
        <v>0.7</v>
      </c>
    </row>
    <row r="37" spans="1:6">
      <c r="A37" s="281" t="s">
        <v>175</v>
      </c>
      <c r="B37" s="282"/>
      <c r="C37" s="305">
        <v>0.1</v>
      </c>
      <c r="D37" s="305">
        <v>0.1</v>
      </c>
      <c r="E37" s="305">
        <v>0.1</v>
      </c>
      <c r="F37" s="378">
        <v>0.1</v>
      </c>
    </row>
    <row r="38" spans="1:6">
      <c r="A38" s="255" t="s">
        <v>176</v>
      </c>
      <c r="B38" s="256"/>
      <c r="C38" s="285">
        <f>'T1 ANSP'!M68</f>
        <v>273.56971650974202</v>
      </c>
      <c r="D38" s="285">
        <f>'T1 ANSP'!N68</f>
        <v>204.80311130053201</v>
      </c>
      <c r="E38" s="285">
        <f>'T1 ANSP'!O68</f>
        <v>240.42251109710699</v>
      </c>
      <c r="F38" s="286">
        <f>'T1 ANSP'!P68</f>
        <v>258.33819951035298</v>
      </c>
    </row>
    <row r="39" spans="1:6">
      <c r="A39" s="281" t="s">
        <v>177</v>
      </c>
      <c r="B39" s="282"/>
      <c r="C39" s="287"/>
      <c r="D39" s="287"/>
      <c r="E39" s="287"/>
      <c r="F39" s="286"/>
    </row>
    <row r="40" spans="1:6">
      <c r="A40" s="288" t="s">
        <v>178</v>
      </c>
      <c r="B40" s="289"/>
      <c r="C40" s="290"/>
      <c r="D40" s="290"/>
      <c r="E40" s="379"/>
      <c r="F40" s="292"/>
    </row>
    <row r="41" spans="1:6">
      <c r="A41" s="851" t="s">
        <v>179</v>
      </c>
      <c r="B41" s="852"/>
      <c r="C41" s="243"/>
      <c r="D41" s="333"/>
      <c r="E41" s="264"/>
      <c r="F41" s="265"/>
    </row>
    <row r="42" spans="1:6" ht="3" customHeight="1">
      <c r="A42" s="233"/>
      <c r="B42" s="233"/>
      <c r="C42" s="233"/>
      <c r="D42" s="233"/>
      <c r="E42" s="233"/>
      <c r="F42" s="233"/>
    </row>
    <row r="43" spans="1:6">
      <c r="A43" s="245" t="s">
        <v>180</v>
      </c>
      <c r="B43" s="246"/>
      <c r="C43" s="239"/>
      <c r="D43" s="239"/>
      <c r="E43" s="239"/>
      <c r="F43" s="240"/>
    </row>
    <row r="44" spans="1:6">
      <c r="A44" s="295" t="s">
        <v>181</v>
      </c>
      <c r="B44" s="296"/>
      <c r="C44" s="346"/>
      <c r="D44" s="346"/>
      <c r="E44" s="346"/>
      <c r="F44" s="347"/>
    </row>
    <row r="45" spans="1:6">
      <c r="A45" s="300" t="s">
        <v>182</v>
      </c>
      <c r="B45" s="301"/>
      <c r="C45" s="346"/>
      <c r="D45" s="346"/>
      <c r="E45" s="346"/>
      <c r="F45" s="347"/>
    </row>
    <row r="46" spans="1:6">
      <c r="A46" s="308" t="s">
        <v>183</v>
      </c>
      <c r="B46" s="309"/>
      <c r="C46" s="243"/>
      <c r="D46" s="243"/>
      <c r="E46" s="264"/>
      <c r="F46" s="265"/>
    </row>
    <row r="47" spans="1:6" ht="10.9" customHeight="1"/>
    <row r="48" spans="1:6" s="236" customFormat="1">
      <c r="A48" s="234" t="s">
        <v>184</v>
      </c>
      <c r="B48" s="234"/>
      <c r="C48" s="235"/>
      <c r="D48" s="235"/>
      <c r="E48" s="235"/>
      <c r="F48" s="235"/>
    </row>
    <row r="49" spans="1:10" ht="3.6" customHeight="1">
      <c r="A49" s="233"/>
      <c r="B49" s="233"/>
      <c r="C49" s="233"/>
      <c r="D49" s="233"/>
      <c r="E49" s="233"/>
      <c r="F49" s="233"/>
    </row>
    <row r="50" spans="1:10">
      <c r="A50" s="237" t="s">
        <v>185</v>
      </c>
      <c r="B50" s="238"/>
      <c r="C50" s="239"/>
      <c r="D50" s="239"/>
      <c r="E50" s="239"/>
      <c r="F50" s="240"/>
      <c r="H50" s="236"/>
      <c r="I50" s="236"/>
      <c r="J50" s="236"/>
    </row>
    <row r="51" spans="1:10">
      <c r="A51" s="281" t="s">
        <v>186</v>
      </c>
      <c r="B51" s="282"/>
      <c r="C51" s="371"/>
      <c r="D51" s="376"/>
      <c r="E51" s="377"/>
      <c r="F51" s="306"/>
    </row>
    <row r="52" spans="1:10">
      <c r="A52" s="281" t="s">
        <v>187</v>
      </c>
      <c r="B52" s="282"/>
      <c r="C52" s="371"/>
      <c r="D52" s="376"/>
      <c r="E52" s="377"/>
      <c r="F52" s="306"/>
      <c r="H52" s="236"/>
      <c r="I52" s="236"/>
      <c r="J52" s="236"/>
    </row>
    <row r="53" spans="1:10">
      <c r="A53" s="279" t="s">
        <v>188</v>
      </c>
      <c r="B53" s="280"/>
      <c r="C53" s="371"/>
      <c r="D53" s="376"/>
      <c r="E53" s="303"/>
      <c r="F53" s="307"/>
    </row>
    <row r="54" spans="1:10" s="312" customFormat="1">
      <c r="A54" s="308" t="s">
        <v>189</v>
      </c>
      <c r="B54" s="309"/>
      <c r="C54" s="849"/>
      <c r="D54" s="333"/>
      <c r="E54" s="264"/>
      <c r="F54" s="265"/>
      <c r="H54" s="236"/>
      <c r="I54" s="236"/>
      <c r="J54" s="236"/>
    </row>
    <row r="55" spans="1:10" ht="12" customHeight="1">
      <c r="A55" s="233"/>
      <c r="B55" s="233"/>
      <c r="C55" s="233"/>
      <c r="D55" s="233"/>
      <c r="E55" s="233"/>
      <c r="F55" s="233"/>
    </row>
    <row r="56" spans="1:10" s="236" customFormat="1">
      <c r="A56" s="234" t="s">
        <v>190</v>
      </c>
      <c r="B56" s="234"/>
      <c r="C56" s="313"/>
      <c r="D56" s="313"/>
      <c r="E56" s="235"/>
      <c r="F56" s="235"/>
    </row>
    <row r="57" spans="1:10" ht="3.6" customHeight="1">
      <c r="A57" s="233"/>
      <c r="B57" s="233"/>
      <c r="C57" s="233"/>
      <c r="D57" s="233"/>
      <c r="E57" s="233"/>
      <c r="F57" s="233"/>
    </row>
    <row r="58" spans="1:10">
      <c r="A58" s="237" t="s">
        <v>191</v>
      </c>
      <c r="B58" s="238"/>
      <c r="C58" s="239"/>
      <c r="D58" s="239"/>
      <c r="E58" s="239"/>
      <c r="F58" s="240"/>
    </row>
    <row r="59" spans="1:10" s="316" customFormat="1">
      <c r="A59" s="308" t="s">
        <v>192</v>
      </c>
      <c r="B59" s="309"/>
      <c r="C59" s="264"/>
      <c r="D59" s="380"/>
      <c r="E59" s="314"/>
      <c r="F59" s="315"/>
    </row>
    <row r="60" spans="1:10" ht="3.6" customHeight="1">
      <c r="A60" s="233"/>
      <c r="B60" s="233"/>
      <c r="C60" s="233"/>
      <c r="D60" s="233"/>
      <c r="E60" s="233"/>
      <c r="F60" s="233"/>
    </row>
    <row r="61" spans="1:10">
      <c r="A61" s="237" t="s">
        <v>193</v>
      </c>
      <c r="B61" s="238"/>
      <c r="C61" s="239"/>
      <c r="D61" s="239"/>
      <c r="E61" s="239"/>
      <c r="F61" s="240"/>
    </row>
    <row r="62" spans="1:10">
      <c r="A62" s="319" t="s">
        <v>194</v>
      </c>
      <c r="B62" s="320"/>
      <c r="C62" s="918" t="s">
        <v>528</v>
      </c>
      <c r="D62" s="380"/>
      <c r="E62" s="381"/>
      <c r="F62" s="382"/>
    </row>
    <row r="63" spans="1:10">
      <c r="A63" s="324" t="s">
        <v>195</v>
      </c>
      <c r="B63" s="325"/>
      <c r="C63" s="1432">
        <f>C93*'T1 ANSP'!M68-(C100*'T1 ANSP'!R68+C101*'T1 ANSP'!L68) -'T3 ANSP'!D103-'T3 ANSP'!D104-(('T3 ANSP'!D103/-('T1'!R68/'T2'!C104-1)+'T3 ANSP'!D104/-('T1'!L68/'T2'!C105-1))*C40)</f>
        <v>362681.9959186879</v>
      </c>
      <c r="D63" s="383"/>
      <c r="E63" s="326"/>
      <c r="F63" s="327"/>
      <c r="H63" s="1457">
        <f>((C93-('T3 ANSP'!E11+'T3 ANSP'!E22+'T3 ANSP'!E75+'T3 ANSP'!E80+'T3 ANSP'!E91+'T3 ANSP'!E102+'T3 ANSP'!E108+'T3 ANSP'!E119+'T3 ANSP'!E130+'T3 ANSP'!E141+'T3 ANSP'!E152+'T3 ANSP'!F11+'T3 ANSP'!F22+'T3 ANSP'!F75+'T3 ANSP'!F80+'T3 ANSP'!F91+'T3 ANSP'!F102+'T3 ANSP'!F108+'T3 ANSP'!F119+'T3 ANSP'!F130+'T3 ANSP'!F141+'T3 ANSP'!F152)/C92)*'T1 ANSP'!M68)-((C100*'T2'!C104-('T3 ANSP'!E11+'T3 ANSP'!E22+'T3 ANSP'!E75+'T3 ANSP'!E80+'T3 ANSP'!E91+'T3 ANSP'!E102+'T3 ANSP'!E108+'T3 ANSP'!E119+'T3 ANSP'!E130+'T3 ANSP'!E141+'T3 ANSP'!E152))*'T1 ANSP'!R68/'T2'!C104)-((C101*'T2'!C105-('T3 ANSP'!F11+'T3 ANSP'!F22+'T3 ANSP'!F75+'T3 ANSP'!F80+'T3 ANSP'!F91+'T3 ANSP'!F102+'T3 ANSP'!F108+'T3 ANSP'!F119+'T3 ANSP'!F130+'T3 ANSP'!F141+'T3 ANSP'!F152))*'T1 ANSP'!L68/'T2'!C105)</f>
        <v>362681.9959186879</v>
      </c>
      <c r="I63" s="1457">
        <f>((C93-('T3 ANSP'!E183+'T3 ANSP'!F183)/C92)*'T1 ANSP'!M68)-((C100*'T2'!C104-('T3 ANSP'!E183))*'T1 ANSP'!R68/'T2'!C104)-((C101*'T2'!C105-('T3 ANSP'!F183))*'T1 ANSP'!L68/'T2'!C105)</f>
        <v>362681.9959186879</v>
      </c>
    </row>
    <row r="64" spans="1:10" ht="3" customHeight="1">
      <c r="A64" s="233"/>
      <c r="B64" s="233"/>
      <c r="C64" s="233"/>
      <c r="D64" s="233"/>
      <c r="E64" s="233"/>
      <c r="F64" s="233"/>
    </row>
    <row r="65" spans="1:6">
      <c r="A65" s="237" t="s">
        <v>196</v>
      </c>
      <c r="B65" s="238"/>
      <c r="C65" s="239"/>
      <c r="D65" s="239"/>
      <c r="E65" s="239"/>
      <c r="F65" s="240"/>
    </row>
    <row r="66" spans="1:6">
      <c r="A66" s="324" t="s">
        <v>197</v>
      </c>
      <c r="B66" s="325"/>
      <c r="C66" s="946"/>
      <c r="D66" s="1160"/>
      <c r="E66" s="1160"/>
      <c r="F66" s="1161"/>
    </row>
    <row r="67" spans="1:6" ht="3" customHeight="1">
      <c r="A67" s="233"/>
      <c r="B67" s="233"/>
      <c r="C67" s="233"/>
      <c r="D67" s="233"/>
      <c r="E67" s="233"/>
      <c r="F67" s="233"/>
    </row>
    <row r="68" spans="1:6">
      <c r="A68" s="237" t="s">
        <v>198</v>
      </c>
      <c r="B68" s="238"/>
      <c r="C68" s="293"/>
      <c r="D68" s="293"/>
      <c r="E68" s="293"/>
      <c r="F68" s="294"/>
    </row>
    <row r="69" spans="1:6">
      <c r="A69" s="329" t="s">
        <v>199</v>
      </c>
      <c r="B69" s="330"/>
      <c r="C69" s="957">
        <v>0</v>
      </c>
      <c r="D69" s="957">
        <v>0</v>
      </c>
      <c r="E69" s="957">
        <v>0</v>
      </c>
      <c r="F69" s="1235">
        <v>0</v>
      </c>
    </row>
    <row r="70" spans="1:6">
      <c r="A70" s="281" t="s">
        <v>200</v>
      </c>
      <c r="B70" s="282"/>
      <c r="C70" s="958">
        <v>0</v>
      </c>
      <c r="D70" s="958">
        <v>0</v>
      </c>
      <c r="E70" s="958">
        <v>0</v>
      </c>
      <c r="F70" s="1236">
        <v>0</v>
      </c>
    </row>
    <row r="71" spans="1:6">
      <c r="A71" s="281" t="s">
        <v>201</v>
      </c>
      <c r="B71" s="282"/>
      <c r="C71" s="958">
        <v>0</v>
      </c>
      <c r="D71" s="958">
        <v>0</v>
      </c>
      <c r="E71" s="958">
        <v>0</v>
      </c>
      <c r="F71" s="1236">
        <v>0</v>
      </c>
    </row>
    <row r="72" spans="1:6">
      <c r="A72" s="281" t="s">
        <v>202</v>
      </c>
      <c r="B72" s="282"/>
      <c r="C72" s="1061">
        <v>0</v>
      </c>
      <c r="D72" s="1061">
        <v>0</v>
      </c>
      <c r="E72" s="1237">
        <v>0</v>
      </c>
      <c r="F72" s="1238">
        <v>0</v>
      </c>
    </row>
    <row r="73" spans="1:6">
      <c r="A73" s="331" t="s">
        <v>203</v>
      </c>
      <c r="B73" s="332"/>
      <c r="C73" s="243">
        <f>SUM(C69:C72)</f>
        <v>0</v>
      </c>
      <c r="D73" s="243">
        <f>SUM(D69:D72)</f>
        <v>0</v>
      </c>
      <c r="E73" s="243">
        <f t="shared" ref="E73:F73" si="0">SUM(E69:E72)</f>
        <v>0</v>
      </c>
      <c r="F73" s="244">
        <f t="shared" si="0"/>
        <v>0</v>
      </c>
    </row>
    <row r="74" spans="1:6" ht="4.1500000000000004" customHeight="1">
      <c r="A74" s="336"/>
      <c r="B74" s="336"/>
      <c r="C74" s="338"/>
      <c r="D74" s="338"/>
      <c r="E74" s="338"/>
      <c r="F74" s="338"/>
    </row>
    <row r="75" spans="1:6">
      <c r="A75" s="237" t="s">
        <v>204</v>
      </c>
      <c r="B75" s="238"/>
      <c r="C75" s="919" t="s">
        <v>529</v>
      </c>
      <c r="D75" s="293"/>
      <c r="E75" s="293"/>
      <c r="F75" s="294"/>
    </row>
    <row r="76" spans="1:6" s="316" customFormat="1">
      <c r="A76" s="324" t="s">
        <v>205</v>
      </c>
      <c r="B76" s="325"/>
      <c r="C76" s="264"/>
      <c r="D76" s="384"/>
      <c r="E76" s="385"/>
      <c r="F76" s="386"/>
    </row>
    <row r="77" spans="1:6" ht="10.15" customHeight="1">
      <c r="A77" s="336"/>
      <c r="B77" s="336"/>
      <c r="C77" s="337"/>
      <c r="D77" s="337"/>
      <c r="E77" s="338"/>
      <c r="F77" s="338"/>
    </row>
    <row r="78" spans="1:6">
      <c r="A78" s="339" t="s">
        <v>206</v>
      </c>
      <c r="B78" s="340"/>
      <c r="C78" s="341">
        <f>C19+C28+C41+C46+C54+C59+C63+C66+C73+C76</f>
        <v>362681.9959186879</v>
      </c>
      <c r="D78" s="341">
        <f>D19+D28+D41+D46+D54+D59+D63+D66+D73+D76</f>
        <v>0</v>
      </c>
      <c r="E78" s="341">
        <f t="shared" ref="E78:F78" si="1">E19+E28+E41+E46+E54+E59+E63+E66+E73+E76</f>
        <v>0</v>
      </c>
      <c r="F78" s="954">
        <f t="shared" si="1"/>
        <v>0</v>
      </c>
    </row>
    <row r="79" spans="1:6" ht="26.1" customHeight="1">
      <c r="A79" s="342"/>
      <c r="B79" s="233"/>
      <c r="C79" s="343"/>
      <c r="D79" s="343"/>
      <c r="E79" s="343"/>
      <c r="F79" s="343"/>
    </row>
    <row r="80" spans="1:6">
      <c r="A80" s="1511" t="s">
        <v>207</v>
      </c>
      <c r="B80" s="1512"/>
      <c r="C80" s="231" t="s">
        <v>498</v>
      </c>
      <c r="D80" s="231">
        <v>2022</v>
      </c>
      <c r="E80" s="231">
        <v>2023</v>
      </c>
      <c r="F80" s="232">
        <v>2024</v>
      </c>
    </row>
    <row r="81" spans="1:6">
      <c r="A81" s="266" t="s">
        <v>208</v>
      </c>
      <c r="B81" s="267"/>
      <c r="C81" s="344">
        <f>+C12</f>
        <v>803042.74055625754</v>
      </c>
      <c r="D81" s="344">
        <f>+D12</f>
        <v>400117.95810183743</v>
      </c>
      <c r="E81" s="344">
        <f>+E12</f>
        <v>421581.40626254876</v>
      </c>
      <c r="F81" s="345">
        <f>+F12</f>
        <v>437181.06891872274</v>
      </c>
    </row>
    <row r="82" spans="1:6">
      <c r="A82" s="255" t="s">
        <v>209</v>
      </c>
      <c r="B82" s="256"/>
      <c r="C82" s="346">
        <f>'T3 ANSP'!E17+'T3 ANSP'!F17</f>
        <v>23608.232996778126</v>
      </c>
      <c r="D82" s="346">
        <f>'T3 ANSP'!G17</f>
        <v>0</v>
      </c>
      <c r="E82" s="346">
        <f>'T3 ANSP'!H17</f>
        <v>0</v>
      </c>
      <c r="F82" s="347">
        <f>'T3 ANSP'!I17</f>
        <v>0</v>
      </c>
    </row>
    <row r="83" spans="1:6">
      <c r="A83" s="255" t="s">
        <v>210</v>
      </c>
      <c r="B83" s="256"/>
      <c r="C83" s="346">
        <f>'T3 ANSP'!E28+'T3 ANSP'!F28</f>
        <v>66819.638238262196</v>
      </c>
      <c r="D83" s="346">
        <f>'T3 ANSP'!G28</f>
        <v>0</v>
      </c>
      <c r="E83" s="346">
        <f>'T3 ANSP'!H28</f>
        <v>0</v>
      </c>
      <c r="F83" s="347">
        <f>'T3 ANSP'!I28</f>
        <v>0</v>
      </c>
    </row>
    <row r="84" spans="1:6">
      <c r="A84" s="348" t="s">
        <v>211</v>
      </c>
      <c r="B84" s="282"/>
      <c r="C84" s="346">
        <f>'T3 ANSP'!E35+'T3 ANSP'!E42+'T3 ANSP'!E49+'T3 ANSP'!E56+'T3 ANSP'!E63+'T3 ANSP'!E70+'T3 ANSP'!E75+'T3 ANSP'!F35+'T3 ANSP'!F42+'T3 ANSP'!F49+'T3 ANSP'!F56+'T3 ANSP'!F63+'T3 ANSP'!F70+'T3 ANSP'!F75</f>
        <v>0</v>
      </c>
      <c r="D84" s="346">
        <f>'T3 ANSP'!G35+'T3 ANSP'!G42+'T3 ANSP'!G49+'T3 ANSP'!G56+'T3 ANSP'!G63+'T3 ANSP'!G70+'T3 ANSP'!G75</f>
        <v>0</v>
      </c>
      <c r="E84" s="346">
        <f>'T3 ANSP'!H35+'T3 ANSP'!H42+'T3 ANSP'!H49+'T3 ANSP'!H56+'T3 ANSP'!H63+'T3 ANSP'!H70+'T3 ANSP'!H75</f>
        <v>0</v>
      </c>
      <c r="F84" s="347">
        <f>'T3 ANSP'!I35+'T3 ANSP'!I42+'T3 ANSP'!I49+'T3 ANSP'!I56+'T3 ANSP'!I63+'T3 ANSP'!I70+'T3 ANSP'!I75</f>
        <v>0</v>
      </c>
    </row>
    <row r="85" spans="1:6">
      <c r="A85" s="348" t="s">
        <v>212</v>
      </c>
      <c r="B85" s="282"/>
      <c r="C85" s="346">
        <f>'T3 ANSP'!E86+'T3 ANSP'!F86</f>
        <v>9496.2781778214812</v>
      </c>
      <c r="D85" s="346">
        <f>'T3 ANSP'!G86</f>
        <v>0</v>
      </c>
      <c r="E85" s="346">
        <f>'T3 ANSP'!H86</f>
        <v>0</v>
      </c>
      <c r="F85" s="347">
        <f>'T3 ANSP'!I86</f>
        <v>0</v>
      </c>
    </row>
    <row r="86" spans="1:6">
      <c r="A86" s="348" t="s">
        <v>213</v>
      </c>
      <c r="B86" s="282"/>
      <c r="C86" s="346">
        <f>'T3 ANSP'!E97+'T3 ANSP'!F97</f>
        <v>0</v>
      </c>
      <c r="D86" s="346">
        <f>'T3 ANSP'!G97</f>
        <v>0</v>
      </c>
      <c r="E86" s="346">
        <f>'T3 ANSP'!H97</f>
        <v>0</v>
      </c>
      <c r="F86" s="347">
        <f>'T3 ANSP'!I97</f>
        <v>0</v>
      </c>
    </row>
    <row r="87" spans="1:6">
      <c r="A87" s="348" t="s">
        <v>214</v>
      </c>
      <c r="B87" s="282"/>
      <c r="C87" s="346">
        <f>'T3 ANSP'!E114+'T3 ANSP'!F114</f>
        <v>12926.817707730021</v>
      </c>
      <c r="D87" s="346">
        <f>'T3 ANSP'!G114</f>
        <v>24888.143520841521</v>
      </c>
      <c r="E87" s="1433">
        <f>'T3 ANSP'!H114</f>
        <v>30331.011498387408</v>
      </c>
      <c r="F87" s="347">
        <f>'T3 ANSP'!I114</f>
        <v>0</v>
      </c>
    </row>
    <row r="88" spans="1:6">
      <c r="A88" s="279" t="s">
        <v>215</v>
      </c>
      <c r="B88" s="280"/>
      <c r="C88" s="346">
        <f>'T3 ANSP'!E125+'T3 ANSP'!E136+'T3 ANSP'!E147+'T3 ANSP'!E158+'T3 ANSP'!F125+'T3 ANSP'!F136+'T3 ANSP'!F147+'T3 ANSP'!F158</f>
        <v>0</v>
      </c>
      <c r="D88" s="346">
        <f>'T3 ANSP'!G125+'T3 ANSP'!G136+'T3 ANSP'!G147+'T3 ANSP'!G158</f>
        <v>0</v>
      </c>
      <c r="E88" s="346">
        <f>'T3 ANSP'!H125+'T3 ANSP'!H136+'T3 ANSP'!H147+'T3 ANSP'!H158</f>
        <v>0</v>
      </c>
      <c r="F88" s="347">
        <f>'T3 ANSP'!I125+'T3 ANSP'!I136+'T3 ANSP'!I147+'T3 ANSP'!I158</f>
        <v>0</v>
      </c>
    </row>
    <row r="89" spans="1:6">
      <c r="A89" s="279" t="s">
        <v>216</v>
      </c>
      <c r="B89" s="280"/>
      <c r="C89" s="346">
        <f>'T3 ANSP'!E172+'T3 ANSP'!F172</f>
        <v>0</v>
      </c>
      <c r="D89" s="346">
        <f>'T3 ANSP'!G172</f>
        <v>0</v>
      </c>
      <c r="E89" s="346">
        <f>'T3 ANSP'!H172</f>
        <v>0</v>
      </c>
      <c r="F89" s="347">
        <f>'T3 ANSP'!I172</f>
        <v>0</v>
      </c>
    </row>
    <row r="90" spans="1:6">
      <c r="A90" s="348" t="s">
        <v>217</v>
      </c>
      <c r="B90" s="349"/>
      <c r="C90" s="350">
        <f>'T3 ANSP'!E165+'T3 ANSP'!F165</f>
        <v>0</v>
      </c>
      <c r="D90" s="350">
        <f>'T3 ANSP'!G165</f>
        <v>0</v>
      </c>
      <c r="E90" s="1434">
        <f>'T3 ANSP'!H165</f>
        <v>0</v>
      </c>
      <c r="F90" s="1435">
        <f>'T3 ANSP'!I165</f>
        <v>0</v>
      </c>
    </row>
    <row r="91" spans="1:6">
      <c r="A91" s="351" t="s">
        <v>218</v>
      </c>
      <c r="B91" s="352"/>
      <c r="C91" s="353">
        <f>SUM(C81:C90)</f>
        <v>915893.70767684921</v>
      </c>
      <c r="D91" s="353">
        <f>SUM(D81:D90)</f>
        <v>425006.10162267892</v>
      </c>
      <c r="E91" s="353">
        <f>SUM(E81:E90)</f>
        <v>451912.41776093619</v>
      </c>
      <c r="F91" s="353">
        <f>SUM(F81:F90)</f>
        <v>437181.06891872274</v>
      </c>
    </row>
    <row r="92" spans="1:6">
      <c r="A92" s="277" t="s">
        <v>219</v>
      </c>
      <c r="B92" s="278"/>
      <c r="C92" s="311">
        <f>'T1 ANSP'!M68</f>
        <v>273.56971650974202</v>
      </c>
      <c r="D92" s="311">
        <f>'T1 ANSP'!N68</f>
        <v>204.80311130053201</v>
      </c>
      <c r="E92" s="311">
        <f>'T1 ANSP'!O68</f>
        <v>240.42251109710699</v>
      </c>
      <c r="F92" s="311">
        <f>'T1 ANSP'!P68</f>
        <v>258.33819951035298</v>
      </c>
    </row>
    <row r="93" spans="1:6">
      <c r="A93" s="277" t="s">
        <v>220</v>
      </c>
      <c r="B93" s="278"/>
      <c r="C93" s="354">
        <f t="shared" ref="C93:F93" si="2">C91/C92</f>
        <v>3347.9352881671521</v>
      </c>
      <c r="D93" s="354">
        <f t="shared" si="2"/>
        <v>2075.193579452105</v>
      </c>
      <c r="E93" s="354">
        <f t="shared" si="2"/>
        <v>1879.6593368014867</v>
      </c>
      <c r="F93" s="354">
        <f t="shared" si="2"/>
        <v>1692.2819379686921</v>
      </c>
    </row>
    <row r="94" spans="1:6">
      <c r="A94" s="277" t="s">
        <v>221</v>
      </c>
      <c r="B94" s="278"/>
      <c r="C94" s="850">
        <f>-(C93*'T1 ANSP'!M68-(C100*'T1 ANSP'!R68+C101*'T1 ANSP'!L68) )/C92</f>
        <v>-1527.5855685694476</v>
      </c>
      <c r="D94" s="355">
        <f>+D97-D93</f>
        <v>-184.00872475684901</v>
      </c>
      <c r="E94" s="355">
        <v>0</v>
      </c>
      <c r="F94" s="356">
        <v>0</v>
      </c>
    </row>
    <row r="95" spans="1:6" ht="10.15" customHeight="1">
      <c r="A95" s="336"/>
      <c r="B95" s="336"/>
      <c r="C95" s="337"/>
      <c r="D95" s="337"/>
      <c r="E95" s="337"/>
      <c r="F95" s="337"/>
    </row>
    <row r="96" spans="1:6">
      <c r="A96" s="357" t="s">
        <v>222</v>
      </c>
      <c r="B96" s="340"/>
      <c r="C96" s="358">
        <f>C93+C94</f>
        <v>1820.3497195977045</v>
      </c>
      <c r="D96" s="358">
        <f t="shared" ref="D96:E96" si="3">+D93+D94</f>
        <v>1891.184854695256</v>
      </c>
      <c r="E96" s="358">
        <f t="shared" si="3"/>
        <v>1879.6593368014867</v>
      </c>
      <c r="F96" s="560">
        <f>+F93+F94</f>
        <v>1692.2819379686921</v>
      </c>
    </row>
    <row r="97" spans="1:9" s="360" customFormat="1">
      <c r="A97" s="342"/>
      <c r="B97" s="233"/>
      <c r="C97" s="359"/>
      <c r="D97" s="1462">
        <f>+C101+C101*1.9%</f>
        <v>1891.184854695256</v>
      </c>
      <c r="E97" s="359"/>
      <c r="F97" s="359"/>
      <c r="G97" s="222"/>
      <c r="H97" s="222"/>
      <c r="I97" s="222"/>
    </row>
    <row r="98" spans="1:9" s="236" customFormat="1" ht="15">
      <c r="A98" s="224" t="s">
        <v>223</v>
      </c>
      <c r="B98" s="361"/>
      <c r="C98" s="362"/>
      <c r="D98" s="362"/>
      <c r="E98" s="1443" t="s">
        <v>722</v>
      </c>
      <c r="F98" s="1444"/>
    </row>
    <row r="99" spans="1:9" s="236" customFormat="1" ht="13.15" customHeight="1">
      <c r="A99" s="363" t="s">
        <v>224</v>
      </c>
      <c r="B99" s="361"/>
      <c r="C99" s="364"/>
      <c r="D99" s="362"/>
      <c r="E99" s="1445" t="s">
        <v>723</v>
      </c>
      <c r="F99" s="1446"/>
    </row>
    <row r="100" spans="1:9" s="236" customFormat="1" ht="13.15" customHeight="1">
      <c r="A100" s="848" t="s">
        <v>714</v>
      </c>
      <c r="B100" s="361"/>
      <c r="C100" s="920">
        <v>1783.4767718990829</v>
      </c>
      <c r="D100" s="362"/>
      <c r="E100" s="1445" t="s">
        <v>724</v>
      </c>
      <c r="F100" s="1446"/>
    </row>
    <row r="101" spans="1:9" s="236" customFormat="1" ht="13.15" customHeight="1">
      <c r="A101" s="848" t="s">
        <v>715</v>
      </c>
      <c r="B101" s="361"/>
      <c r="C101" s="920">
        <v>1855.9223304173267</v>
      </c>
      <c r="D101" s="362"/>
      <c r="E101" s="1447" t="s">
        <v>725</v>
      </c>
      <c r="F101" s="1448"/>
    </row>
    <row r="102" spans="1:9" s="236" customFormat="1">
      <c r="A102" s="848" t="s">
        <v>716</v>
      </c>
      <c r="B102" s="233"/>
      <c r="C102" s="920">
        <v>0</v>
      </c>
      <c r="D102" s="364"/>
      <c r="E102" s="364"/>
      <c r="F102" s="233"/>
    </row>
    <row r="103" spans="1:9" s="236" customFormat="1">
      <c r="A103" s="848" t="s">
        <v>717</v>
      </c>
      <c r="B103" s="233"/>
      <c r="C103" s="920">
        <v>0</v>
      </c>
      <c r="D103" s="233"/>
      <c r="E103" s="233"/>
      <c r="F103" s="233"/>
    </row>
    <row r="104" spans="1:9" s="236" customFormat="1">
      <c r="A104" s="224" t="s">
        <v>547</v>
      </c>
      <c r="B104" s="361"/>
      <c r="C104" s="362"/>
      <c r="D104" s="362"/>
      <c r="E104" s="362"/>
      <c r="F104" s="362"/>
    </row>
  </sheetData>
  <mergeCells count="4">
    <mergeCell ref="A1:F1"/>
    <mergeCell ref="C5:F5"/>
    <mergeCell ref="A7:B7"/>
    <mergeCell ref="A80:B80"/>
  </mergeCells>
  <printOptions horizontalCentered="1"/>
  <pageMargins left="0.70866141732283472" right="0.70866141732283472" top="0.74803149606299213" bottom="0.74803149606299213" header="0.31496062992125984" footer="0.31496062992125984"/>
  <pageSetup paperSize="9" scale="6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fitToPage="1"/>
  </sheetPr>
  <dimension ref="A1:U104"/>
  <sheetViews>
    <sheetView showGridLines="0" zoomScale="120" zoomScaleNormal="120" workbookViewId="0">
      <selection activeCell="H93" sqref="H93"/>
    </sheetView>
  </sheetViews>
  <sheetFormatPr baseColWidth="10" defaultColWidth="8.7109375" defaultRowHeight="12.75"/>
  <cols>
    <col min="1" max="1" width="24" style="224" customWidth="1"/>
    <col min="2" max="2" width="49.5703125" style="224" customWidth="1"/>
    <col min="3" max="6" width="12.5703125" style="224" customWidth="1"/>
    <col min="7" max="7" width="8.7109375" style="222"/>
    <col min="8" max="9" width="9.28515625" style="222" bestFit="1" customWidth="1"/>
    <col min="10" max="10" width="8.7109375" style="222"/>
    <col min="11" max="12" width="8.7109375" style="222" bestFit="1" customWidth="1"/>
    <col min="13" max="15" width="9.28515625" style="222" bestFit="1" customWidth="1"/>
    <col min="16" max="16384" width="8.7109375" style="222"/>
  </cols>
  <sheetData>
    <row r="1" spans="1:10">
      <c r="A1" s="1508" t="s">
        <v>149</v>
      </c>
      <c r="B1" s="1508"/>
      <c r="C1" s="1508"/>
      <c r="D1" s="1508"/>
      <c r="E1" s="1508"/>
      <c r="F1" s="1508"/>
    </row>
    <row r="2" spans="1:10">
      <c r="A2" s="223"/>
      <c r="B2" s="223"/>
      <c r="F2" s="225"/>
    </row>
    <row r="3" spans="1:10">
      <c r="A3" s="226" t="str">
        <f>'T1 MET'!A3</f>
        <v>Norway - TCZ</v>
      </c>
      <c r="B3" s="227"/>
      <c r="C3" s="222"/>
      <c r="D3" s="228"/>
      <c r="E3" s="222"/>
      <c r="F3" s="222"/>
    </row>
    <row r="4" spans="1:10">
      <c r="A4" s="229" t="str">
        <f>'T1 MET'!A4</f>
        <v>Currency: NOK</v>
      </c>
      <c r="B4" s="227"/>
      <c r="C4" s="222"/>
      <c r="D4" s="228"/>
      <c r="E4" s="222"/>
      <c r="F4" s="222"/>
    </row>
    <row r="5" spans="1:10">
      <c r="A5" s="230" t="str">
        <f>'T1 MET'!A5</f>
        <v>MET</v>
      </c>
      <c r="B5" s="853"/>
      <c r="C5" s="1509" t="s">
        <v>150</v>
      </c>
      <c r="D5" s="1509"/>
      <c r="E5" s="1509"/>
      <c r="F5" s="1510"/>
    </row>
    <row r="6" spans="1:10">
      <c r="A6" s="227"/>
      <c r="B6" s="227"/>
    </row>
    <row r="7" spans="1:10" ht="12.75" customHeight="1">
      <c r="A7" s="1511" t="s">
        <v>151</v>
      </c>
      <c r="B7" s="1512"/>
      <c r="C7" s="231" t="s">
        <v>498</v>
      </c>
      <c r="D7" s="231">
        <v>2022</v>
      </c>
      <c r="E7" s="231">
        <v>2023</v>
      </c>
      <c r="F7" s="232">
        <v>2024</v>
      </c>
    </row>
    <row r="8" spans="1:10">
      <c r="A8" s="233"/>
      <c r="B8" s="233"/>
      <c r="C8" s="233"/>
      <c r="D8" s="233"/>
      <c r="E8" s="233"/>
      <c r="F8" s="233"/>
    </row>
    <row r="9" spans="1:10" s="236" customFormat="1">
      <c r="A9" s="234" t="s">
        <v>152</v>
      </c>
      <c r="B9" s="234"/>
      <c r="C9" s="235"/>
      <c r="D9" s="235"/>
      <c r="E9" s="235"/>
      <c r="F9" s="235"/>
    </row>
    <row r="10" spans="1:10" ht="3" customHeight="1">
      <c r="A10" s="233"/>
      <c r="B10" s="233"/>
      <c r="C10" s="233"/>
      <c r="D10" s="233"/>
      <c r="E10" s="233"/>
      <c r="F10" s="233"/>
    </row>
    <row r="11" spans="1:10">
      <c r="A11" s="237" t="s">
        <v>153</v>
      </c>
      <c r="B11" s="238"/>
      <c r="C11" s="239"/>
      <c r="D11" s="239"/>
      <c r="E11" s="239"/>
      <c r="F11" s="240"/>
    </row>
    <row r="12" spans="1:10">
      <c r="A12" s="241" t="s">
        <v>154</v>
      </c>
      <c r="B12" s="242"/>
      <c r="C12" s="365">
        <f>+'T1 MET'!M61</f>
        <v>16033.686124995002</v>
      </c>
      <c r="D12" s="365">
        <f>+'T1 MET'!N61</f>
        <v>8266.150229544899</v>
      </c>
      <c r="E12" s="365">
        <f>+'T1 MET'!O61</f>
        <v>8431.4732341357994</v>
      </c>
      <c r="F12" s="366">
        <f>+'T1 MET'!P61</f>
        <v>8600.1026988185131</v>
      </c>
    </row>
    <row r="13" spans="1:10" ht="3" customHeight="1">
      <c r="A13" s="233"/>
      <c r="B13" s="233"/>
      <c r="C13" s="317"/>
      <c r="D13" s="317"/>
      <c r="E13" s="317"/>
      <c r="F13" s="317"/>
    </row>
    <row r="14" spans="1:10">
      <c r="A14" s="245" t="s">
        <v>155</v>
      </c>
      <c r="B14" s="246"/>
      <c r="C14" s="318"/>
      <c r="D14" s="318"/>
      <c r="E14" s="318"/>
      <c r="F14" s="367"/>
    </row>
    <row r="15" spans="1:10">
      <c r="A15" s="247" t="s">
        <v>156</v>
      </c>
      <c r="B15" s="248"/>
      <c r="C15" s="387">
        <f>'T1 MET'!M61-'T1 MET'!M15-'T1 MET'!M16</f>
        <v>16033.686124995002</v>
      </c>
      <c r="D15" s="387">
        <f>'T1 MET'!N61-'T1 MET'!N15-'T1 MET'!N16</f>
        <v>8266.150229544899</v>
      </c>
      <c r="E15" s="387">
        <f>'T1 MET'!O61-'T1 MET'!O15-'T1 MET'!O16</f>
        <v>8431.4732341357994</v>
      </c>
      <c r="F15" s="388">
        <f>'T1 MET'!P61-'T1 MET'!P15-'T1 MET'!P16</f>
        <v>8600.1026988185131</v>
      </c>
      <c r="G15" s="360"/>
      <c r="H15" s="360"/>
      <c r="I15" s="360"/>
      <c r="J15" s="360"/>
    </row>
    <row r="16" spans="1:10">
      <c r="A16" s="251" t="s">
        <v>157</v>
      </c>
      <c r="B16" s="252"/>
      <c r="C16" s="389"/>
      <c r="D16" s="249">
        <f>+'T1 MET'!N65</f>
        <v>111.15895068431999</v>
      </c>
      <c r="E16" s="249">
        <f>+'T1 MET'!O65</f>
        <v>113.38212969800639</v>
      </c>
      <c r="F16" s="250">
        <f>+'T1 MET'!P65</f>
        <v>115.64977229196653</v>
      </c>
    </row>
    <row r="17" spans="1:6">
      <c r="A17" s="255" t="s">
        <v>158</v>
      </c>
      <c r="B17" s="256"/>
      <c r="C17" s="374"/>
      <c r="D17" s="273"/>
      <c r="E17" s="273"/>
      <c r="F17" s="368"/>
    </row>
    <row r="18" spans="1:6">
      <c r="A18" s="259" t="s">
        <v>159</v>
      </c>
      <c r="B18" s="260"/>
      <c r="C18" s="405"/>
      <c r="D18" s="261"/>
      <c r="E18" s="262"/>
      <c r="F18" s="263"/>
    </row>
    <row r="19" spans="1:6">
      <c r="A19" s="851" t="s">
        <v>160</v>
      </c>
      <c r="B19" s="852"/>
      <c r="C19" s="243"/>
      <c r="D19" s="243"/>
      <c r="E19" s="264"/>
      <c r="F19" s="265"/>
    </row>
    <row r="20" spans="1:6" ht="3" customHeight="1">
      <c r="A20" s="233"/>
      <c r="B20" s="233"/>
      <c r="C20" s="233"/>
      <c r="D20" s="233"/>
      <c r="E20" s="233"/>
      <c r="F20" s="233"/>
    </row>
    <row r="21" spans="1:6">
      <c r="A21" s="237" t="s">
        <v>161</v>
      </c>
      <c r="B21" s="238"/>
      <c r="C21" s="239"/>
      <c r="D21" s="239"/>
      <c r="E21" s="239"/>
      <c r="F21" s="240"/>
    </row>
    <row r="22" spans="1:6">
      <c r="A22" s="266" t="s">
        <v>162</v>
      </c>
      <c r="B22" s="267"/>
      <c r="C22" s="268"/>
      <c r="D22" s="369"/>
      <c r="E22" s="269"/>
      <c r="F22" s="270"/>
    </row>
    <row r="23" spans="1:6">
      <c r="A23" s="271" t="s">
        <v>163</v>
      </c>
      <c r="B23" s="272"/>
      <c r="C23" s="374"/>
      <c r="D23" s="371"/>
      <c r="E23" s="372"/>
      <c r="F23" s="373"/>
    </row>
    <row r="24" spans="1:6">
      <c r="A24" s="271" t="s">
        <v>164</v>
      </c>
      <c r="B24" s="272"/>
      <c r="C24" s="374"/>
      <c r="D24" s="374"/>
      <c r="E24" s="372"/>
      <c r="F24" s="373"/>
    </row>
    <row r="25" spans="1:6">
      <c r="A25" s="276" t="s">
        <v>165</v>
      </c>
      <c r="B25" s="272"/>
      <c r="C25" s="273"/>
      <c r="D25" s="375"/>
      <c r="E25" s="274"/>
      <c r="F25" s="275"/>
    </row>
    <row r="26" spans="1:6">
      <c r="A26" s="276" t="s">
        <v>166</v>
      </c>
      <c r="B26" s="272"/>
      <c r="C26" s="273"/>
      <c r="D26" s="375"/>
      <c r="E26" s="274"/>
      <c r="F26" s="275"/>
    </row>
    <row r="27" spans="1:6">
      <c r="A27" s="276" t="s">
        <v>167</v>
      </c>
      <c r="B27" s="272"/>
      <c r="C27" s="273"/>
      <c r="D27" s="375"/>
      <c r="E27" s="274"/>
      <c r="F27" s="275"/>
    </row>
    <row r="28" spans="1:6">
      <c r="A28" s="308" t="s">
        <v>168</v>
      </c>
      <c r="B28" s="309"/>
      <c r="C28" s="243"/>
      <c r="D28" s="243"/>
      <c r="E28" s="264"/>
      <c r="F28" s="265"/>
    </row>
    <row r="29" spans="1:6" ht="10.9" customHeight="1"/>
    <row r="30" spans="1:6" s="236" customFormat="1">
      <c r="A30" s="234" t="s">
        <v>169</v>
      </c>
      <c r="B30" s="234"/>
      <c r="C30" s="235"/>
      <c r="D30" s="235"/>
      <c r="E30" s="235"/>
      <c r="F30" s="235"/>
    </row>
    <row r="31" spans="1:6" ht="1.9" customHeight="1">
      <c r="A31" s="233"/>
      <c r="B31" s="233"/>
      <c r="C31" s="233"/>
      <c r="D31" s="233"/>
      <c r="E31" s="233"/>
      <c r="F31" s="233"/>
    </row>
    <row r="32" spans="1:6">
      <c r="A32" s="237" t="s">
        <v>170</v>
      </c>
      <c r="B32" s="238"/>
      <c r="C32" s="239"/>
      <c r="D32" s="239"/>
      <c r="E32" s="239"/>
      <c r="F32" s="240"/>
    </row>
    <row r="33" spans="1:6">
      <c r="A33" s="279" t="s">
        <v>171</v>
      </c>
      <c r="B33" s="280"/>
      <c r="C33" s="389"/>
      <c r="D33" s="389"/>
      <c r="E33" s="390"/>
      <c r="F33" s="391"/>
    </row>
    <row r="34" spans="1:6">
      <c r="A34" s="281" t="s">
        <v>172</v>
      </c>
      <c r="B34" s="282"/>
      <c r="C34" s="392"/>
      <c r="D34" s="392"/>
      <c r="E34" s="393"/>
      <c r="F34" s="394"/>
    </row>
    <row r="35" spans="1:6">
      <c r="A35" s="281" t="s">
        <v>173</v>
      </c>
      <c r="B35" s="282"/>
      <c r="C35" s="392"/>
      <c r="D35" s="392"/>
      <c r="E35" s="393"/>
      <c r="F35" s="394"/>
    </row>
    <row r="36" spans="1:6">
      <c r="A36" s="281" t="s">
        <v>174</v>
      </c>
      <c r="B36" s="282"/>
      <c r="C36" s="392"/>
      <c r="D36" s="392"/>
      <c r="E36" s="393"/>
      <c r="F36" s="394"/>
    </row>
    <row r="37" spans="1:6">
      <c r="A37" s="281" t="s">
        <v>175</v>
      </c>
      <c r="B37" s="282"/>
      <c r="C37" s="395"/>
      <c r="D37" s="395"/>
      <c r="E37" s="393"/>
      <c r="F37" s="394"/>
    </row>
    <row r="38" spans="1:6">
      <c r="A38" s="255" t="s">
        <v>176</v>
      </c>
      <c r="B38" s="256"/>
      <c r="C38" s="285">
        <f>'T1 MET'!M68</f>
        <v>273.56971650974202</v>
      </c>
      <c r="D38" s="285">
        <f>'T1 MET'!N68</f>
        <v>204.80311130053201</v>
      </c>
      <c r="E38" s="285">
        <f>'T1 MET'!O68</f>
        <v>240.42251109710699</v>
      </c>
      <c r="F38" s="286">
        <f>'T1 MET'!P68</f>
        <v>258.33819951035298</v>
      </c>
    </row>
    <row r="39" spans="1:6">
      <c r="A39" s="281" t="s">
        <v>177</v>
      </c>
      <c r="B39" s="282"/>
      <c r="C39" s="287"/>
      <c r="D39" s="287"/>
      <c r="E39" s="287"/>
      <c r="F39" s="286"/>
    </row>
    <row r="40" spans="1:6">
      <c r="A40" s="288" t="s">
        <v>178</v>
      </c>
      <c r="B40" s="289"/>
      <c r="C40" s="290"/>
      <c r="D40" s="290"/>
      <c r="E40" s="379"/>
      <c r="F40" s="292"/>
    </row>
    <row r="41" spans="1:6">
      <c r="A41" s="851" t="s">
        <v>179</v>
      </c>
      <c r="B41" s="852"/>
      <c r="C41" s="849"/>
      <c r="D41" s="849"/>
      <c r="E41" s="946"/>
      <c r="F41" s="947"/>
    </row>
    <row r="42" spans="1:6" ht="3" customHeight="1">
      <c r="A42" s="233"/>
      <c r="B42" s="233"/>
      <c r="C42" s="233"/>
      <c r="D42" s="233"/>
      <c r="E42" s="233"/>
      <c r="F42" s="233"/>
    </row>
    <row r="43" spans="1:6">
      <c r="A43" s="245" t="s">
        <v>180</v>
      </c>
      <c r="B43" s="246"/>
      <c r="C43" s="239"/>
      <c r="D43" s="239"/>
      <c r="E43" s="239"/>
      <c r="F43" s="240"/>
    </row>
    <row r="44" spans="1:6">
      <c r="A44" s="295" t="s">
        <v>181</v>
      </c>
      <c r="B44" s="296"/>
      <c r="C44" s="346"/>
      <c r="D44" s="346"/>
      <c r="E44" s="346"/>
      <c r="F44" s="347"/>
    </row>
    <row r="45" spans="1:6">
      <c r="A45" s="300" t="s">
        <v>182</v>
      </c>
      <c r="B45" s="301"/>
      <c r="C45" s="346"/>
      <c r="D45" s="346"/>
      <c r="E45" s="346"/>
      <c r="F45" s="347"/>
    </row>
    <row r="46" spans="1:6">
      <c r="A46" s="308" t="s">
        <v>183</v>
      </c>
      <c r="B46" s="309"/>
      <c r="C46" s="243"/>
      <c r="D46" s="243"/>
      <c r="E46" s="264"/>
      <c r="F46" s="265"/>
    </row>
    <row r="47" spans="1:6" ht="10.9" customHeight="1"/>
    <row r="48" spans="1:6" s="236" customFormat="1">
      <c r="A48" s="234" t="s">
        <v>184</v>
      </c>
      <c r="B48" s="234"/>
      <c r="C48" s="235"/>
      <c r="D48" s="235"/>
      <c r="E48" s="235"/>
      <c r="F48" s="235"/>
    </row>
    <row r="49" spans="1:10" ht="3.6" customHeight="1">
      <c r="A49" s="233"/>
      <c r="B49" s="233"/>
      <c r="C49" s="233"/>
      <c r="D49" s="233"/>
      <c r="E49" s="233"/>
      <c r="F49" s="233"/>
    </row>
    <row r="50" spans="1:10">
      <c r="A50" s="237" t="s">
        <v>185</v>
      </c>
      <c r="B50" s="238"/>
      <c r="C50" s="239"/>
      <c r="D50" s="239"/>
      <c r="E50" s="239"/>
      <c r="F50" s="240"/>
      <c r="H50" s="236"/>
      <c r="I50" s="236"/>
      <c r="J50" s="236"/>
    </row>
    <row r="51" spans="1:10">
      <c r="A51" s="281" t="s">
        <v>186</v>
      </c>
      <c r="B51" s="282"/>
      <c r="C51" s="371"/>
      <c r="D51" s="410"/>
      <c r="E51" s="393"/>
      <c r="F51" s="394"/>
    </row>
    <row r="52" spans="1:10">
      <c r="A52" s="281" t="s">
        <v>187</v>
      </c>
      <c r="B52" s="282"/>
      <c r="C52" s="371"/>
      <c r="D52" s="410"/>
      <c r="E52" s="393"/>
      <c r="F52" s="394"/>
      <c r="H52" s="236"/>
      <c r="I52" s="236"/>
      <c r="J52" s="236"/>
    </row>
    <row r="53" spans="1:10">
      <c r="A53" s="279" t="s">
        <v>188</v>
      </c>
      <c r="B53" s="280"/>
      <c r="C53" s="371"/>
      <c r="D53" s="410"/>
      <c r="E53" s="390"/>
      <c r="F53" s="391"/>
    </row>
    <row r="54" spans="1:10" s="312" customFormat="1">
      <c r="A54" s="308" t="s">
        <v>189</v>
      </c>
      <c r="B54" s="309"/>
      <c r="C54" s="849"/>
      <c r="D54" s="554"/>
      <c r="E54" s="554"/>
      <c r="F54" s="555"/>
      <c r="G54" s="222"/>
      <c r="H54" s="236"/>
      <c r="I54" s="236"/>
      <c r="J54" s="236"/>
    </row>
    <row r="55" spans="1:10" ht="12" customHeight="1">
      <c r="A55" s="233"/>
      <c r="B55" s="233"/>
      <c r="C55" s="233"/>
      <c r="D55" s="233"/>
      <c r="E55" s="233"/>
      <c r="F55" s="233"/>
    </row>
    <row r="56" spans="1:10" s="236" customFormat="1">
      <c r="A56" s="234" t="s">
        <v>190</v>
      </c>
      <c r="B56" s="234"/>
      <c r="C56" s="313"/>
      <c r="D56" s="313"/>
      <c r="E56" s="235"/>
      <c r="F56" s="235"/>
    </row>
    <row r="57" spans="1:10" ht="3.6" customHeight="1">
      <c r="A57" s="233"/>
      <c r="B57" s="233"/>
      <c r="C57" s="233"/>
      <c r="D57" s="233"/>
      <c r="E57" s="233"/>
      <c r="F57" s="233"/>
    </row>
    <row r="58" spans="1:10">
      <c r="A58" s="237" t="s">
        <v>191</v>
      </c>
      <c r="B58" s="238"/>
      <c r="C58" s="239"/>
      <c r="D58" s="239"/>
      <c r="E58" s="239"/>
      <c r="F58" s="240"/>
    </row>
    <row r="59" spans="1:10" s="316" customFormat="1">
      <c r="A59" s="308" t="s">
        <v>192</v>
      </c>
      <c r="B59" s="309"/>
      <c r="C59" s="264"/>
      <c r="D59" s="314"/>
      <c r="E59" s="314"/>
      <c r="F59" s="315"/>
    </row>
    <row r="60" spans="1:10" ht="3.6" customHeight="1">
      <c r="A60" s="233"/>
      <c r="B60" s="233"/>
      <c r="C60" s="233"/>
      <c r="D60" s="233"/>
      <c r="E60" s="233"/>
      <c r="F60" s="233"/>
    </row>
    <row r="61" spans="1:10">
      <c r="A61" s="237" t="s">
        <v>193</v>
      </c>
      <c r="B61" s="238"/>
      <c r="C61" s="239"/>
      <c r="D61" s="239"/>
      <c r="E61" s="239"/>
      <c r="F61" s="240"/>
    </row>
    <row r="62" spans="1:10">
      <c r="A62" s="319" t="s">
        <v>194</v>
      </c>
      <c r="B62" s="320"/>
      <c r="C62" s="918" t="s">
        <v>528</v>
      </c>
      <c r="D62" s="322"/>
      <c r="E62" s="322"/>
      <c r="F62" s="323"/>
    </row>
    <row r="63" spans="1:10">
      <c r="A63" s="324" t="s">
        <v>195</v>
      </c>
      <c r="B63" s="325"/>
      <c r="C63" s="1432">
        <f>C93*'T1 MET'!M68-(C100*'T1 MET'!R68+C101*'T1 MET'!L68) -'T3 MET'!D103-'T3 MET'!D104-(('T3 MET'!D103/-('T1'!R68/'T2'!C104-1)+'T3 MET'!D104/-('T1'!L68/'T2'!C105-1))*C40)</f>
        <v>10374.486178880736</v>
      </c>
      <c r="D63" s="326"/>
      <c r="E63" s="326"/>
      <c r="F63" s="327"/>
      <c r="H63" s="1457">
        <f>((C93-('T3 MET'!E11+'T3 MET'!E22+'T3 MET'!E75+'T3 MET'!E80+'T3 MET'!E91+'T3 MET'!E102+'T3 MET'!E108+'T3 MET'!E119+'T3 MET'!E130+'T3 MET'!E141+'T3 MET'!E152+'T3 MET'!F11+'T3 MET'!F22+'T3 MET'!F75+'T3 MET'!F80+'T3 MET'!F91+'T3 MET'!F102+'T3 MET'!F108+'T3 MET'!F119+'T3 MET'!F130+'T3 MET'!F141+'T3 MET'!F152)/C92)*'T1 MET'!M68)-((C100*'T2'!C104-('T3 MET'!E11+'T3 MET'!E22+'T3 MET'!E75+'T3 MET'!E80+'T3 MET'!E91+'T3 MET'!E102+'T3 MET'!E108+'T3 MET'!E119+'T3 MET'!E130+'T3 MET'!E141+'T3 MET'!E152))*'T1 MET'!R68/'T2'!C104)-((C101*'T2'!C105-('T3 MET'!F11+'T3 MET'!F22+'T3 MET'!F75+'T3 MET'!F80+'T3 MET'!F91+'T3 MET'!F102+'T3 MET'!F108+'T3 MET'!F119+'T3 MET'!F130+'T3 MET'!F141+'T3 MET'!F152))*'T1 MET'!L68/'T2'!C105)</f>
        <v>10374.486178880739</v>
      </c>
      <c r="I63" s="1457">
        <f>((C93-('T3 MET'!E183+'T3 MET'!F183)/C92)*'T1 MET'!M68)-((C100*'T2'!C104-('T3 MET'!E183))*'T1 MET'!R68/'T2'!C104)-((C101*'T2'!C105-('T3 MET'!F183))*'T1 MET'!L68/'T2'!C105)</f>
        <v>10374.486178880739</v>
      </c>
    </row>
    <row r="64" spans="1:10" ht="3" customHeight="1">
      <c r="A64" s="233"/>
      <c r="B64" s="233"/>
      <c r="C64" s="233"/>
      <c r="D64" s="233"/>
      <c r="E64" s="233"/>
      <c r="F64" s="233"/>
    </row>
    <row r="65" spans="1:6">
      <c r="A65" s="237" t="s">
        <v>196</v>
      </c>
      <c r="B65" s="238"/>
      <c r="C65" s="239"/>
      <c r="D65" s="239"/>
      <c r="E65" s="239"/>
      <c r="F65" s="240"/>
    </row>
    <row r="66" spans="1:6">
      <c r="A66" s="324" t="s">
        <v>197</v>
      </c>
      <c r="B66" s="325"/>
      <c r="C66" s="946"/>
      <c r="D66" s="1160"/>
      <c r="E66" s="1160"/>
      <c r="F66" s="1161"/>
    </row>
    <row r="67" spans="1:6" ht="3" customHeight="1">
      <c r="A67" s="233"/>
      <c r="B67" s="233"/>
      <c r="C67" s="233"/>
      <c r="D67" s="233"/>
      <c r="E67" s="233"/>
      <c r="F67" s="233"/>
    </row>
    <row r="68" spans="1:6">
      <c r="A68" s="237" t="s">
        <v>198</v>
      </c>
      <c r="B68" s="238"/>
      <c r="C68" s="293"/>
      <c r="D68" s="293"/>
      <c r="E68" s="293"/>
      <c r="F68" s="294"/>
    </row>
    <row r="69" spans="1:6">
      <c r="A69" s="329" t="s">
        <v>199</v>
      </c>
      <c r="B69" s="330"/>
      <c r="C69" s="957">
        <v>0</v>
      </c>
      <c r="D69" s="957">
        <v>0</v>
      </c>
      <c r="E69" s="957">
        <v>0</v>
      </c>
      <c r="F69" s="1235">
        <v>0</v>
      </c>
    </row>
    <row r="70" spans="1:6">
      <c r="A70" s="281" t="s">
        <v>200</v>
      </c>
      <c r="B70" s="282"/>
      <c r="C70" s="958">
        <v>0</v>
      </c>
      <c r="D70" s="958">
        <v>0</v>
      </c>
      <c r="E70" s="958">
        <v>0</v>
      </c>
      <c r="F70" s="1236">
        <v>0</v>
      </c>
    </row>
    <row r="71" spans="1:6">
      <c r="A71" s="281" t="s">
        <v>201</v>
      </c>
      <c r="B71" s="282"/>
      <c r="C71" s="958">
        <v>0</v>
      </c>
      <c r="D71" s="958">
        <v>0</v>
      </c>
      <c r="E71" s="958">
        <v>0</v>
      </c>
      <c r="F71" s="1236">
        <v>0</v>
      </c>
    </row>
    <row r="72" spans="1:6">
      <c r="A72" s="281" t="s">
        <v>202</v>
      </c>
      <c r="B72" s="282"/>
      <c r="C72" s="1061">
        <v>0</v>
      </c>
      <c r="D72" s="1061">
        <v>0</v>
      </c>
      <c r="E72" s="1237">
        <v>0</v>
      </c>
      <c r="F72" s="1238">
        <v>0</v>
      </c>
    </row>
    <row r="73" spans="1:6">
      <c r="A73" s="921" t="s">
        <v>203</v>
      </c>
      <c r="B73" s="922"/>
      <c r="C73" s="243">
        <f>SUM(C69:C72)</f>
        <v>0</v>
      </c>
      <c r="D73" s="243">
        <f>SUM(D69:D72)</f>
        <v>0</v>
      </c>
      <c r="E73" s="333">
        <f t="shared" ref="E73:F73" si="0">SUM(E69:E72)</f>
        <v>0</v>
      </c>
      <c r="F73" s="949">
        <f t="shared" si="0"/>
        <v>0</v>
      </c>
    </row>
    <row r="74" spans="1:6" ht="4.1500000000000004" customHeight="1">
      <c r="A74" s="336"/>
      <c r="B74" s="336"/>
      <c r="C74" s="338"/>
      <c r="D74" s="338"/>
      <c r="E74" s="338"/>
      <c r="F74" s="338"/>
    </row>
    <row r="75" spans="1:6">
      <c r="A75" s="237" t="s">
        <v>204</v>
      </c>
      <c r="B75" s="238"/>
      <c r="C75" s="919" t="s">
        <v>529</v>
      </c>
      <c r="D75" s="293"/>
      <c r="E75" s="293"/>
      <c r="F75" s="294"/>
    </row>
    <row r="76" spans="1:6" s="316" customFormat="1">
      <c r="A76" s="331" t="s">
        <v>205</v>
      </c>
      <c r="B76" s="332"/>
      <c r="C76" s="321"/>
      <c r="D76" s="334"/>
      <c r="E76" s="334"/>
      <c r="F76" s="335"/>
    </row>
    <row r="77" spans="1:6" ht="10.15" customHeight="1">
      <c r="A77" s="336"/>
      <c r="B77" s="336"/>
      <c r="C77" s="337"/>
      <c r="D77" s="338"/>
      <c r="E77" s="338"/>
      <c r="F77" s="338"/>
    </row>
    <row r="78" spans="1:6">
      <c r="A78" s="339" t="s">
        <v>206</v>
      </c>
      <c r="B78" s="340"/>
      <c r="C78" s="341">
        <f>C19+C28+C41+C46+C54+C59+C63+C66+C73+C76</f>
        <v>10374.486178880736</v>
      </c>
      <c r="D78" s="341">
        <f>D19+D28+D41+D46+D54+D59+D63+D66+D73+D76</f>
        <v>0</v>
      </c>
      <c r="E78" s="341">
        <f t="shared" ref="E78:F78" si="1">E19+E28+E41+E46+E54+E59+E63+E66+E73+E76</f>
        <v>0</v>
      </c>
      <c r="F78" s="954">
        <f t="shared" si="1"/>
        <v>0</v>
      </c>
    </row>
    <row r="79" spans="1:6" ht="26.1" customHeight="1">
      <c r="A79" s="342"/>
      <c r="B79" s="233"/>
      <c r="C79" s="343"/>
      <c r="D79" s="343"/>
      <c r="E79" s="343"/>
      <c r="F79" s="343"/>
    </row>
    <row r="80" spans="1:6" ht="12.75" customHeight="1">
      <c r="A80" s="1511" t="s">
        <v>207</v>
      </c>
      <c r="B80" s="1512"/>
      <c r="C80" s="231" t="s">
        <v>498</v>
      </c>
      <c r="D80" s="231">
        <v>2022</v>
      </c>
      <c r="E80" s="231">
        <v>2023</v>
      </c>
      <c r="F80" s="232">
        <v>2024</v>
      </c>
    </row>
    <row r="81" spans="1:21">
      <c r="A81" s="266" t="s">
        <v>208</v>
      </c>
      <c r="B81" s="267"/>
      <c r="C81" s="344">
        <f>+C12</f>
        <v>16033.686124995002</v>
      </c>
      <c r="D81" s="344">
        <f>+D12</f>
        <v>8266.150229544899</v>
      </c>
      <c r="E81" s="344">
        <f>+E12</f>
        <v>8431.4732341357994</v>
      </c>
      <c r="F81" s="345">
        <f>+F12</f>
        <v>8600.1026988185131</v>
      </c>
      <c r="M81" s="396"/>
      <c r="N81" s="396"/>
      <c r="O81" s="396"/>
      <c r="P81" s="396"/>
      <c r="Q81" s="396"/>
    </row>
    <row r="82" spans="1:21" ht="12.75" customHeight="1">
      <c r="A82" s="255" t="s">
        <v>209</v>
      </c>
      <c r="B82" s="256"/>
      <c r="C82" s="346">
        <f>'T3 MET'!E17+'T3 MET'!F17</f>
        <v>322.91607799262829</v>
      </c>
      <c r="D82" s="346">
        <f>'T3 MET'!G17</f>
        <v>0</v>
      </c>
      <c r="E82" s="346">
        <f>'T3 MET'!H17</f>
        <v>0</v>
      </c>
      <c r="F82" s="347">
        <f>'T3 MET'!I17</f>
        <v>0</v>
      </c>
      <c r="M82" s="396"/>
      <c r="N82" s="396"/>
      <c r="O82" s="396"/>
      <c r="P82" s="396"/>
      <c r="Q82" s="396"/>
    </row>
    <row r="83" spans="1:21">
      <c r="A83" s="255" t="s">
        <v>210</v>
      </c>
      <c r="B83" s="256"/>
      <c r="C83" s="346">
        <f>'T3 MET'!E28+'T3 MET'!F28</f>
        <v>0</v>
      </c>
      <c r="D83" s="346">
        <f>'T3 MET'!G28</f>
        <v>0</v>
      </c>
      <c r="E83" s="346">
        <f>'T3 MET'!H28</f>
        <v>0</v>
      </c>
      <c r="F83" s="347">
        <f>'T3 MET'!I28</f>
        <v>0</v>
      </c>
      <c r="M83" s="396"/>
      <c r="N83" s="396"/>
      <c r="O83" s="396"/>
      <c r="P83" s="396"/>
      <c r="Q83" s="396"/>
    </row>
    <row r="84" spans="1:21">
      <c r="A84" s="348" t="s">
        <v>211</v>
      </c>
      <c r="B84" s="282"/>
      <c r="C84" s="346">
        <f>'T3 MET'!E35+'T3 MET'!E42+'T3 MET'!E49+'T3 MET'!E56+'T3 MET'!E63+'T3 MET'!E70+'T3 MET'!E75+'T3 MET'!F35+'T3 MET'!F42+'T3 MET'!F49+'T3 MET'!F56+'T3 MET'!F63+'T3 MET'!F70+'T3 MET'!F75</f>
        <v>0</v>
      </c>
      <c r="D84" s="346">
        <f>'T3 MET'!G35+'T3 MET'!G42+'T3 MET'!G49+'T3 MET'!G56+'T3 MET'!G63+'T3 MET'!G70+'T3 MET'!G75</f>
        <v>0</v>
      </c>
      <c r="E84" s="346">
        <f>'T3 MET'!H35+'T3 MET'!H42+'T3 MET'!H49+'T3 MET'!H56+'T3 MET'!H63+'T3 MET'!H70+'T3 MET'!H75</f>
        <v>0</v>
      </c>
      <c r="F84" s="347">
        <f>'T3 MET'!I35+'T3 MET'!I42+'T3 MET'!I49+'T3 MET'!I56+'T3 MET'!I63+'T3 MET'!I70+'T3 MET'!I75</f>
        <v>0</v>
      </c>
      <c r="M84" s="396"/>
      <c r="N84" s="396"/>
      <c r="O84" s="396"/>
      <c r="P84" s="396"/>
      <c r="Q84" s="396"/>
    </row>
    <row r="85" spans="1:21">
      <c r="A85" s="348" t="s">
        <v>212</v>
      </c>
      <c r="B85" s="282"/>
      <c r="C85" s="346">
        <f>'T3 MET'!E86+'T3 MET'!F86</f>
        <v>0</v>
      </c>
      <c r="D85" s="346">
        <f>'T3 MET'!G86</f>
        <v>0</v>
      </c>
      <c r="E85" s="346">
        <f>'T3 MET'!H86</f>
        <v>0</v>
      </c>
      <c r="F85" s="347">
        <f>'T3 MET'!I86</f>
        <v>0</v>
      </c>
      <c r="M85" s="396"/>
      <c r="N85" s="396"/>
      <c r="O85" s="396"/>
      <c r="P85" s="396"/>
      <c r="Q85" s="396"/>
    </row>
    <row r="86" spans="1:21">
      <c r="A86" s="348" t="s">
        <v>213</v>
      </c>
      <c r="B86" s="282"/>
      <c r="C86" s="346">
        <f>'T3 MET'!E97+'T3 MET'!F97</f>
        <v>0</v>
      </c>
      <c r="D86" s="346">
        <f>'T3 MET'!G97</f>
        <v>0</v>
      </c>
      <c r="E86" s="346">
        <f>'T3 MET'!H97</f>
        <v>0</v>
      </c>
      <c r="F86" s="347">
        <f>'T3 MET'!I97</f>
        <v>0</v>
      </c>
      <c r="M86" s="396"/>
      <c r="N86" s="396"/>
      <c r="O86" s="396"/>
      <c r="P86" s="396"/>
      <c r="Q86" s="396"/>
    </row>
    <row r="87" spans="1:21">
      <c r="A87" s="348" t="s">
        <v>214</v>
      </c>
      <c r="B87" s="282"/>
      <c r="C87" s="346">
        <f>'T3 MET'!E114+'T3 MET'!F114</f>
        <v>1686.6720355359366</v>
      </c>
      <c r="D87" s="346">
        <f>'T3 MET'!G114</f>
        <v>458.0471040680323</v>
      </c>
      <c r="E87" s="1433">
        <f>'T3 MET'!H114</f>
        <v>525.67998958115072</v>
      </c>
      <c r="F87" s="347">
        <f>'T3 MET'!I114</f>
        <v>0</v>
      </c>
      <c r="M87" s="396"/>
      <c r="N87" s="396"/>
      <c r="O87" s="396"/>
      <c r="P87" s="396"/>
      <c r="Q87" s="396"/>
    </row>
    <row r="88" spans="1:21">
      <c r="A88" s="279" t="s">
        <v>215</v>
      </c>
      <c r="B88" s="280"/>
      <c r="C88" s="346">
        <f>'T3 MET'!E125+'T3 MET'!E136+'T3 MET'!E147+'T3 MET'!E158+'T3 MET'!F125+'T3 MET'!F136+'T3 MET'!F147+'T3 MET'!F158</f>
        <v>0</v>
      </c>
      <c r="D88" s="346">
        <f>'T3 MET'!G125+'T3 MET'!G136+'T3 MET'!G147+'T3 MET'!G158</f>
        <v>0</v>
      </c>
      <c r="E88" s="346">
        <f>'T3 MET'!H125+'T3 MET'!H136+'T3 MET'!H147+'T3 MET'!H158</f>
        <v>0</v>
      </c>
      <c r="F88" s="347">
        <f>'T3 MET'!I125+'T3 MET'!I136+'T3 MET'!I147+'T3 MET'!I158</f>
        <v>0</v>
      </c>
      <c r="M88" s="396"/>
      <c r="N88" s="396"/>
      <c r="O88" s="396"/>
      <c r="P88" s="396"/>
      <c r="Q88" s="396"/>
    </row>
    <row r="89" spans="1:21">
      <c r="A89" s="279" t="s">
        <v>216</v>
      </c>
      <c r="B89" s="280"/>
      <c r="C89" s="346">
        <f>'T3 MET'!E172+'T3 MET'!F172</f>
        <v>0</v>
      </c>
      <c r="D89" s="346">
        <f>'T3 MET'!G172</f>
        <v>0</v>
      </c>
      <c r="E89" s="346">
        <f>'T3 MET'!H172</f>
        <v>0</v>
      </c>
      <c r="F89" s="347">
        <f>'T3 MET'!I172</f>
        <v>0</v>
      </c>
      <c r="M89" s="396"/>
      <c r="N89" s="396"/>
      <c r="O89" s="396"/>
      <c r="P89" s="396"/>
      <c r="Q89" s="396"/>
    </row>
    <row r="90" spans="1:21">
      <c r="A90" s="348" t="s">
        <v>217</v>
      </c>
      <c r="B90" s="349"/>
      <c r="C90" s="350">
        <f>'T3 MET'!E165+'T3 MET'!F165</f>
        <v>0</v>
      </c>
      <c r="D90" s="350">
        <f>'T3 MET'!G165</f>
        <v>0</v>
      </c>
      <c r="E90" s="1434">
        <f>'T3 MET'!H165</f>
        <v>0</v>
      </c>
      <c r="F90" s="1435">
        <f>'T3 MET'!I165</f>
        <v>0</v>
      </c>
      <c r="M90" s="396"/>
      <c r="N90" s="396"/>
      <c r="O90" s="396"/>
      <c r="P90" s="396"/>
      <c r="Q90" s="396"/>
    </row>
    <row r="91" spans="1:21">
      <c r="A91" s="351" t="s">
        <v>218</v>
      </c>
      <c r="B91" s="352"/>
      <c r="C91" s="353">
        <f t="shared" ref="C91" si="2">SUM(C81:C90)</f>
        <v>18043.274238523565</v>
      </c>
      <c r="D91" s="353">
        <f>SUM(D81:D90)</f>
        <v>8724.1973336129322</v>
      </c>
      <c r="E91" s="353">
        <f>SUM(E81:E90)</f>
        <v>8957.1532237169504</v>
      </c>
      <c r="F91" s="353">
        <f>SUM(F81:F90)</f>
        <v>8600.1026988185131</v>
      </c>
      <c r="M91" s="396"/>
      <c r="N91" s="396"/>
      <c r="O91" s="396"/>
      <c r="P91" s="396"/>
      <c r="Q91" s="396"/>
    </row>
    <row r="92" spans="1:21">
      <c r="A92" s="277" t="s">
        <v>219</v>
      </c>
      <c r="B92" s="278"/>
      <c r="C92" s="311">
        <f>'T1 MET'!M68</f>
        <v>273.56971650974202</v>
      </c>
      <c r="D92" s="311">
        <f>'T1 ANSP'!N68</f>
        <v>204.80311130053201</v>
      </c>
      <c r="E92" s="311">
        <f>'T1 ANSP'!O68</f>
        <v>240.42251109710699</v>
      </c>
      <c r="F92" s="311">
        <f>'T1 ANSP'!P68</f>
        <v>258.33819951035298</v>
      </c>
      <c r="K92" s="397"/>
      <c r="M92" s="396"/>
      <c r="N92" s="396"/>
      <c r="O92" s="396"/>
      <c r="P92" s="396"/>
      <c r="Q92" s="396"/>
    </row>
    <row r="93" spans="1:21">
      <c r="A93" s="277" t="s">
        <v>220</v>
      </c>
      <c r="B93" s="278"/>
      <c r="C93" s="354">
        <f t="shared" ref="C93:F93" si="3">C91/C92</f>
        <v>65.954940001120448</v>
      </c>
      <c r="D93" s="354">
        <f t="shared" si="3"/>
        <v>42.597972649013506</v>
      </c>
      <c r="E93" s="354">
        <f t="shared" si="3"/>
        <v>37.255884163439021</v>
      </c>
      <c r="F93" s="354">
        <f t="shared" si="3"/>
        <v>33.290093045159054</v>
      </c>
      <c r="K93" s="397"/>
      <c r="M93" s="396"/>
      <c r="N93" s="396"/>
      <c r="O93" s="396"/>
      <c r="P93" s="396"/>
      <c r="Q93" s="396"/>
      <c r="U93" s="398"/>
    </row>
    <row r="94" spans="1:21">
      <c r="A94" s="277" t="s">
        <v>221</v>
      </c>
      <c r="B94" s="278"/>
      <c r="C94" s="850">
        <f>-(C93*'T1 MET'!M68-(C100*'T1 MET'!R68+C101*'T1 MET'!L68) )/C92</f>
        <v>-41.518532889679129</v>
      </c>
      <c r="D94" s="355">
        <f>+D97-D93</f>
        <v>-17.277876738679968</v>
      </c>
      <c r="E94" s="355">
        <v>0</v>
      </c>
      <c r="F94" s="356">
        <v>0</v>
      </c>
      <c r="K94" s="397"/>
    </row>
    <row r="95" spans="1:21" ht="10.15" customHeight="1">
      <c r="A95" s="336"/>
      <c r="B95" s="336"/>
      <c r="C95" s="337"/>
      <c r="D95" s="338"/>
      <c r="E95" s="338"/>
      <c r="F95" s="338"/>
    </row>
    <row r="96" spans="1:21">
      <c r="A96" s="357" t="s">
        <v>222</v>
      </c>
      <c r="B96" s="340"/>
      <c r="C96" s="358">
        <f t="shared" ref="C96" si="4">C93+C94</f>
        <v>24.436407111441319</v>
      </c>
      <c r="D96" s="358">
        <f t="shared" ref="D96:F96" si="5">+D93+D94</f>
        <v>25.320095910333539</v>
      </c>
      <c r="E96" s="358">
        <f t="shared" si="5"/>
        <v>37.255884163439021</v>
      </c>
      <c r="F96" s="560">
        <f t="shared" si="5"/>
        <v>33.290093045159054</v>
      </c>
    </row>
    <row r="97" spans="1:9" s="360" customFormat="1">
      <c r="A97" s="342"/>
      <c r="B97" s="233"/>
      <c r="C97" s="359"/>
      <c r="D97" s="1462">
        <f>+C101+C101*1.9%</f>
        <v>25.320095910333539</v>
      </c>
      <c r="E97" s="359"/>
      <c r="F97" s="359"/>
      <c r="G97" s="222"/>
      <c r="H97" s="222"/>
      <c r="I97" s="222"/>
    </row>
    <row r="98" spans="1:9" s="236" customFormat="1" ht="15">
      <c r="A98" s="224" t="s">
        <v>223</v>
      </c>
      <c r="B98" s="361"/>
      <c r="C98" s="362"/>
      <c r="D98" s="362"/>
      <c r="E98" s="1443" t="s">
        <v>722</v>
      </c>
      <c r="F98" s="1444"/>
    </row>
    <row r="99" spans="1:9" s="236" customFormat="1" ht="13.15" customHeight="1">
      <c r="A99" s="363" t="s">
        <v>224</v>
      </c>
      <c r="B99" s="361"/>
      <c r="C99" s="364"/>
      <c r="D99" s="362"/>
      <c r="E99" s="1445" t="s">
        <v>723</v>
      </c>
      <c r="F99" s="1446"/>
    </row>
    <row r="100" spans="1:9" s="236" customFormat="1" ht="13.15" customHeight="1">
      <c r="A100" s="848" t="s">
        <v>714</v>
      </c>
      <c r="B100" s="361"/>
      <c r="C100" s="920">
        <v>24.009785042049529</v>
      </c>
      <c r="D100" s="362"/>
      <c r="E100" s="1445" t="s">
        <v>724</v>
      </c>
      <c r="F100" s="1446"/>
    </row>
    <row r="101" spans="1:9" s="236" customFormat="1" ht="13.15" customHeight="1">
      <c r="A101" s="848" t="s">
        <v>715</v>
      </c>
      <c r="B101" s="361"/>
      <c r="C101" s="920">
        <v>24.847984210337135</v>
      </c>
      <c r="D101" s="362"/>
      <c r="E101" s="1447" t="s">
        <v>725</v>
      </c>
      <c r="F101" s="1448"/>
    </row>
    <row r="102" spans="1:9" s="236" customFormat="1">
      <c r="A102" s="848" t="s">
        <v>716</v>
      </c>
      <c r="B102" s="233"/>
      <c r="C102" s="920">
        <v>0</v>
      </c>
      <c r="D102" s="364"/>
      <c r="E102" s="364"/>
      <c r="F102" s="233"/>
    </row>
    <row r="103" spans="1:9" s="236" customFormat="1">
      <c r="A103" s="848" t="s">
        <v>717</v>
      </c>
      <c r="B103" s="233"/>
      <c r="C103" s="920">
        <v>0</v>
      </c>
      <c r="D103" s="233"/>
      <c r="E103" s="233"/>
      <c r="F103" s="233"/>
    </row>
    <row r="104" spans="1:9" s="236" customFormat="1">
      <c r="A104" s="224" t="s">
        <v>547</v>
      </c>
      <c r="B104" s="361"/>
      <c r="C104" s="362"/>
      <c r="D104" s="362"/>
      <c r="E104" s="362"/>
      <c r="F104" s="362"/>
    </row>
  </sheetData>
  <mergeCells count="4">
    <mergeCell ref="A1:F1"/>
    <mergeCell ref="C5:F5"/>
    <mergeCell ref="A7:B7"/>
    <mergeCell ref="A80:B80"/>
  </mergeCells>
  <printOptions horizontalCentered="1"/>
  <pageMargins left="0.70866141732283472" right="0.70866141732283472" top="0.74803149606299213" bottom="0.74803149606299213" header="0.31496062992125984" footer="0.31496062992125984"/>
  <pageSetup paperSize="9" scale="6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U104"/>
  <sheetViews>
    <sheetView showGridLines="0" zoomScale="120" zoomScaleNormal="120" workbookViewId="0">
      <selection activeCell="I94" sqref="I94"/>
    </sheetView>
  </sheetViews>
  <sheetFormatPr baseColWidth="10" defaultColWidth="8.7109375" defaultRowHeight="12.75"/>
  <cols>
    <col min="1" max="1" width="24" style="224" customWidth="1"/>
    <col min="2" max="2" width="49.5703125" style="224" customWidth="1"/>
    <col min="3" max="6" width="12.5703125" style="224" customWidth="1"/>
    <col min="7" max="10" width="8.7109375" style="222"/>
    <col min="11" max="12" width="8.7109375" style="222" bestFit="1" customWidth="1"/>
    <col min="13" max="15" width="9.28515625" style="222" bestFit="1" customWidth="1"/>
    <col min="16" max="16384" width="8.7109375" style="222"/>
  </cols>
  <sheetData>
    <row r="1" spans="1:12">
      <c r="A1" s="1508" t="s">
        <v>149</v>
      </c>
      <c r="B1" s="1508"/>
      <c r="C1" s="1508"/>
      <c r="D1" s="1508"/>
      <c r="E1" s="1508"/>
      <c r="F1" s="1508"/>
    </row>
    <row r="2" spans="1:12">
      <c r="A2" s="223"/>
      <c r="B2" s="223"/>
      <c r="F2" s="225"/>
    </row>
    <row r="3" spans="1:12">
      <c r="A3" s="226" t="str">
        <f>'T1 NSA'!A3</f>
        <v>Norway - TCZ</v>
      </c>
      <c r="B3" s="227"/>
      <c r="C3" s="222"/>
      <c r="D3" s="228"/>
      <c r="E3" s="222"/>
      <c r="F3" s="222"/>
    </row>
    <row r="4" spans="1:12">
      <c r="A4" s="229" t="str">
        <f>'T1 NSA'!A4</f>
        <v>Currency: NOK</v>
      </c>
      <c r="B4" s="227"/>
      <c r="C4" s="222"/>
      <c r="D4" s="228"/>
      <c r="E4" s="222"/>
      <c r="F4" s="222"/>
    </row>
    <row r="5" spans="1:12">
      <c r="A5" s="230" t="str">
        <f>'T1 NSA'!A5</f>
        <v>NSA</v>
      </c>
      <c r="B5" s="853"/>
      <c r="C5" s="1509" t="s">
        <v>150</v>
      </c>
      <c r="D5" s="1509"/>
      <c r="E5" s="1509"/>
      <c r="F5" s="1510"/>
    </row>
    <row r="6" spans="1:12">
      <c r="A6" s="227"/>
      <c r="B6" s="227"/>
    </row>
    <row r="7" spans="1:12" ht="12.75" customHeight="1">
      <c r="A7" s="1511" t="s">
        <v>151</v>
      </c>
      <c r="B7" s="1512"/>
      <c r="C7" s="231" t="s">
        <v>498</v>
      </c>
      <c r="D7" s="231">
        <v>2022</v>
      </c>
      <c r="E7" s="231">
        <v>2023</v>
      </c>
      <c r="F7" s="232">
        <v>2024</v>
      </c>
    </row>
    <row r="8" spans="1:12">
      <c r="A8" s="233"/>
      <c r="B8" s="233"/>
      <c r="C8" s="233"/>
      <c r="D8" s="233"/>
      <c r="E8" s="233"/>
      <c r="F8" s="233"/>
    </row>
    <row r="9" spans="1:12" s="236" customFormat="1">
      <c r="A9" s="234" t="s">
        <v>152</v>
      </c>
      <c r="B9" s="234"/>
      <c r="C9" s="235"/>
      <c r="D9" s="235"/>
      <c r="E9" s="235"/>
      <c r="F9" s="235"/>
    </row>
    <row r="10" spans="1:12" ht="3" customHeight="1">
      <c r="A10" s="233"/>
      <c r="B10" s="233"/>
      <c r="C10" s="233"/>
      <c r="D10" s="233"/>
      <c r="E10" s="233"/>
      <c r="F10" s="233"/>
    </row>
    <row r="11" spans="1:12">
      <c r="A11" s="237" t="s">
        <v>153</v>
      </c>
      <c r="B11" s="238"/>
      <c r="C11" s="239"/>
      <c r="D11" s="239"/>
      <c r="E11" s="239"/>
      <c r="F11" s="240"/>
    </row>
    <row r="12" spans="1:12">
      <c r="A12" s="241" t="s">
        <v>154</v>
      </c>
      <c r="B12" s="242"/>
      <c r="C12" s="365">
        <f>+'T1 NSA'!M61</f>
        <v>1666.865873295</v>
      </c>
      <c r="D12" s="365">
        <f>+'T1 NSA'!N61</f>
        <v>859.3509698109001</v>
      </c>
      <c r="E12" s="365">
        <f>+'T1 NSA'!O61</f>
        <v>876.53798920711802</v>
      </c>
      <c r="F12" s="366">
        <f>+'T1 NSA'!P61</f>
        <v>894.06874899126024</v>
      </c>
    </row>
    <row r="13" spans="1:12" ht="3" customHeight="1">
      <c r="A13" s="233"/>
      <c r="B13" s="233"/>
      <c r="C13" s="317"/>
      <c r="D13" s="233"/>
      <c r="E13" s="233"/>
      <c r="F13" s="233"/>
    </row>
    <row r="14" spans="1:12">
      <c r="A14" s="245" t="s">
        <v>155</v>
      </c>
      <c r="B14" s="246"/>
      <c r="C14" s="318"/>
      <c r="D14" s="239"/>
      <c r="E14" s="239"/>
      <c r="F14" s="240"/>
    </row>
    <row r="15" spans="1:12">
      <c r="A15" s="247" t="s">
        <v>156</v>
      </c>
      <c r="B15" s="248"/>
      <c r="C15" s="389"/>
      <c r="D15" s="399"/>
      <c r="E15" s="399"/>
      <c r="F15" s="400"/>
      <c r="G15" s="360"/>
      <c r="H15" s="360"/>
      <c r="I15" s="360"/>
      <c r="J15" s="360"/>
      <c r="K15" s="360"/>
      <c r="L15" s="360"/>
    </row>
    <row r="16" spans="1:12">
      <c r="A16" s="251" t="s">
        <v>157</v>
      </c>
      <c r="B16" s="252"/>
      <c r="C16" s="389"/>
      <c r="D16" s="401"/>
      <c r="E16" s="401"/>
      <c r="F16" s="402"/>
    </row>
    <row r="17" spans="1:6">
      <c r="A17" s="255" t="s">
        <v>158</v>
      </c>
      <c r="B17" s="256"/>
      <c r="C17" s="374"/>
      <c r="D17" s="403"/>
      <c r="E17" s="403"/>
      <c r="F17" s="404"/>
    </row>
    <row r="18" spans="1:6">
      <c r="A18" s="259" t="s">
        <v>159</v>
      </c>
      <c r="B18" s="260"/>
      <c r="C18" s="405"/>
      <c r="D18" s="405"/>
      <c r="E18" s="403"/>
      <c r="F18" s="404"/>
    </row>
    <row r="19" spans="1:6">
      <c r="A19" s="241" t="s">
        <v>160</v>
      </c>
      <c r="B19" s="242"/>
      <c r="C19" s="406"/>
      <c r="D19" s="406"/>
      <c r="E19" s="406"/>
      <c r="F19" s="407"/>
    </row>
    <row r="20" spans="1:6" ht="3" customHeight="1">
      <c r="A20" s="233"/>
      <c r="B20" s="233"/>
      <c r="C20" s="233"/>
      <c r="D20" s="233"/>
      <c r="E20" s="233"/>
      <c r="F20" s="233"/>
    </row>
    <row r="21" spans="1:6">
      <c r="A21" s="237" t="s">
        <v>161</v>
      </c>
      <c r="B21" s="238"/>
      <c r="C21" s="239"/>
      <c r="D21" s="239"/>
      <c r="E21" s="239"/>
      <c r="F21" s="240"/>
    </row>
    <row r="22" spans="1:6">
      <c r="A22" s="266" t="s">
        <v>162</v>
      </c>
      <c r="B22" s="267"/>
      <c r="C22" s="408"/>
      <c r="D22" s="408"/>
      <c r="E22" s="408"/>
      <c r="F22" s="409"/>
    </row>
    <row r="23" spans="1:6">
      <c r="A23" s="271" t="s">
        <v>163</v>
      </c>
      <c r="B23" s="272"/>
      <c r="C23" s="346"/>
      <c r="D23" s="346"/>
      <c r="E23" s="346"/>
      <c r="F23" s="347"/>
    </row>
    <row r="24" spans="1:6">
      <c r="A24" s="271" t="s">
        <v>164</v>
      </c>
      <c r="B24" s="272"/>
      <c r="C24" s="408"/>
      <c r="D24" s="408"/>
      <c r="E24" s="408"/>
      <c r="F24" s="409"/>
    </row>
    <row r="25" spans="1:6">
      <c r="A25" s="276" t="s">
        <v>165</v>
      </c>
      <c r="B25" s="272"/>
      <c r="C25" s="408"/>
      <c r="D25" s="408"/>
      <c r="E25" s="408"/>
      <c r="F25" s="409"/>
    </row>
    <row r="26" spans="1:6">
      <c r="A26" s="276" t="s">
        <v>166</v>
      </c>
      <c r="B26" s="272"/>
      <c r="C26" s="408"/>
      <c r="D26" s="408"/>
      <c r="E26" s="408"/>
      <c r="F26" s="409"/>
    </row>
    <row r="27" spans="1:6">
      <c r="A27" s="276" t="s">
        <v>167</v>
      </c>
      <c r="B27" s="272"/>
      <c r="C27" s="408"/>
      <c r="D27" s="408"/>
      <c r="E27" s="408"/>
      <c r="F27" s="409"/>
    </row>
    <row r="28" spans="1:6">
      <c r="A28" s="308" t="s">
        <v>168</v>
      </c>
      <c r="B28" s="309"/>
      <c r="C28" s="243"/>
      <c r="D28" s="365"/>
      <c r="E28" s="365"/>
      <c r="F28" s="366"/>
    </row>
    <row r="29" spans="1:6" ht="10.9" customHeight="1"/>
    <row r="30" spans="1:6" s="236" customFormat="1">
      <c r="A30" s="234" t="s">
        <v>169</v>
      </c>
      <c r="B30" s="234"/>
      <c r="C30" s="235"/>
      <c r="D30" s="235"/>
      <c r="E30" s="235"/>
      <c r="F30" s="235"/>
    </row>
    <row r="31" spans="1:6" ht="1.9" customHeight="1">
      <c r="A31" s="233"/>
      <c r="B31" s="233"/>
      <c r="C31" s="233"/>
      <c r="D31" s="233"/>
      <c r="E31" s="233"/>
      <c r="F31" s="233"/>
    </row>
    <row r="32" spans="1:6">
      <c r="A32" s="237" t="s">
        <v>170</v>
      </c>
      <c r="B32" s="238"/>
      <c r="C32" s="239"/>
      <c r="D32" s="239"/>
      <c r="E32" s="239"/>
      <c r="F32" s="240"/>
    </row>
    <row r="33" spans="1:6">
      <c r="A33" s="279" t="s">
        <v>171</v>
      </c>
      <c r="B33" s="280"/>
      <c r="C33" s="389"/>
      <c r="D33" s="389"/>
      <c r="E33" s="390"/>
      <c r="F33" s="391"/>
    </row>
    <row r="34" spans="1:6">
      <c r="A34" s="281" t="s">
        <v>172</v>
      </c>
      <c r="B34" s="282"/>
      <c r="C34" s="392"/>
      <c r="D34" s="392"/>
      <c r="E34" s="393"/>
      <c r="F34" s="394"/>
    </row>
    <row r="35" spans="1:6">
      <c r="A35" s="281" t="s">
        <v>173</v>
      </c>
      <c r="B35" s="282"/>
      <c r="C35" s="392"/>
      <c r="D35" s="392"/>
      <c r="E35" s="393"/>
      <c r="F35" s="394"/>
    </row>
    <row r="36" spans="1:6">
      <c r="A36" s="281" t="s">
        <v>174</v>
      </c>
      <c r="B36" s="282"/>
      <c r="C36" s="392"/>
      <c r="D36" s="392"/>
      <c r="E36" s="393"/>
      <c r="F36" s="394"/>
    </row>
    <row r="37" spans="1:6">
      <c r="A37" s="281" t="s">
        <v>175</v>
      </c>
      <c r="B37" s="282"/>
      <c r="C37" s="395"/>
      <c r="D37" s="395"/>
      <c r="E37" s="393"/>
      <c r="F37" s="394"/>
    </row>
    <row r="38" spans="1:6">
      <c r="A38" s="255" t="s">
        <v>176</v>
      </c>
      <c r="B38" s="256"/>
      <c r="C38" s="285">
        <f>'T1 NSA'!M68</f>
        <v>273.56971650974202</v>
      </c>
      <c r="D38" s="285">
        <f>'T1 NSA'!N68</f>
        <v>204.80311130053201</v>
      </c>
      <c r="E38" s="285">
        <f>'T1 NSA'!O68</f>
        <v>240.42251109710699</v>
      </c>
      <c r="F38" s="286">
        <f>'T1 NSA'!P68</f>
        <v>258.33819951035298</v>
      </c>
    </row>
    <row r="39" spans="1:6">
      <c r="A39" s="281" t="s">
        <v>177</v>
      </c>
      <c r="B39" s="282"/>
      <c r="C39" s="287"/>
      <c r="D39" s="287"/>
      <c r="E39" s="287"/>
      <c r="F39" s="286"/>
    </row>
    <row r="40" spans="1:6">
      <c r="A40" s="288" t="s">
        <v>178</v>
      </c>
      <c r="B40" s="289"/>
      <c r="C40" s="290"/>
      <c r="D40" s="290"/>
      <c r="E40" s="379"/>
      <c r="F40" s="292"/>
    </row>
    <row r="41" spans="1:6">
      <c r="A41" s="851" t="s">
        <v>179</v>
      </c>
      <c r="B41" s="852"/>
      <c r="C41" s="849"/>
      <c r="D41" s="849"/>
      <c r="E41" s="946"/>
      <c r="F41" s="947"/>
    </row>
    <row r="42" spans="1:6" ht="3" customHeight="1">
      <c r="A42" s="233"/>
      <c r="B42" s="233"/>
      <c r="C42" s="233"/>
      <c r="D42" s="233"/>
      <c r="E42" s="233"/>
      <c r="F42" s="233"/>
    </row>
    <row r="43" spans="1:6">
      <c r="A43" s="245" t="s">
        <v>180</v>
      </c>
      <c r="B43" s="246"/>
      <c r="C43" s="239"/>
      <c r="D43" s="239"/>
      <c r="E43" s="239"/>
      <c r="F43" s="240"/>
    </row>
    <row r="44" spans="1:6">
      <c r="A44" s="295" t="s">
        <v>181</v>
      </c>
      <c r="B44" s="296"/>
      <c r="C44" s="346"/>
      <c r="D44" s="346"/>
      <c r="E44" s="346"/>
      <c r="F44" s="347"/>
    </row>
    <row r="45" spans="1:6">
      <c r="A45" s="300" t="s">
        <v>182</v>
      </c>
      <c r="B45" s="301"/>
      <c r="C45" s="346"/>
      <c r="D45" s="346"/>
      <c r="E45" s="346"/>
      <c r="F45" s="347"/>
    </row>
    <row r="46" spans="1:6">
      <c r="A46" s="308" t="s">
        <v>183</v>
      </c>
      <c r="B46" s="309"/>
      <c r="C46" s="243"/>
      <c r="D46" s="243"/>
      <c r="E46" s="264"/>
      <c r="F46" s="265"/>
    </row>
    <row r="47" spans="1:6" ht="10.9" customHeight="1"/>
    <row r="48" spans="1:6" s="236" customFormat="1">
      <c r="A48" s="234" t="s">
        <v>184</v>
      </c>
      <c r="B48" s="234"/>
      <c r="C48" s="235"/>
      <c r="D48" s="235"/>
      <c r="E48" s="235"/>
      <c r="F48" s="235"/>
    </row>
    <row r="49" spans="1:10" ht="3.6" customHeight="1">
      <c r="A49" s="233"/>
      <c r="B49" s="233"/>
      <c r="C49" s="233"/>
      <c r="D49" s="233"/>
      <c r="E49" s="233"/>
      <c r="F49" s="233"/>
    </row>
    <row r="50" spans="1:10">
      <c r="A50" s="237" t="s">
        <v>185</v>
      </c>
      <c r="B50" s="238"/>
      <c r="C50" s="239"/>
      <c r="D50" s="239"/>
      <c r="E50" s="239"/>
      <c r="F50" s="240"/>
      <c r="H50" s="236"/>
      <c r="I50" s="236"/>
      <c r="J50" s="236"/>
    </row>
    <row r="51" spans="1:10">
      <c r="A51" s="281" t="s">
        <v>186</v>
      </c>
      <c r="B51" s="282"/>
      <c r="C51" s="371"/>
      <c r="D51" s="410"/>
      <c r="E51" s="393"/>
      <c r="F51" s="394"/>
    </row>
    <row r="52" spans="1:10">
      <c r="A52" s="281" t="s">
        <v>187</v>
      </c>
      <c r="B52" s="282"/>
      <c r="C52" s="371"/>
      <c r="D52" s="410"/>
      <c r="E52" s="393"/>
      <c r="F52" s="394"/>
      <c r="H52" s="236"/>
      <c r="I52" s="236"/>
      <c r="J52" s="236"/>
    </row>
    <row r="53" spans="1:10">
      <c r="A53" s="279" t="s">
        <v>188</v>
      </c>
      <c r="B53" s="280"/>
      <c r="C53" s="371"/>
      <c r="D53" s="410"/>
      <c r="E53" s="390"/>
      <c r="F53" s="391"/>
    </row>
    <row r="54" spans="1:10" s="312" customFormat="1">
      <c r="A54" s="308" t="s">
        <v>189</v>
      </c>
      <c r="B54" s="309"/>
      <c r="C54" s="849"/>
      <c r="D54" s="554"/>
      <c r="E54" s="554"/>
      <c r="F54" s="555"/>
      <c r="H54" s="236"/>
      <c r="I54" s="236"/>
      <c r="J54" s="236"/>
    </row>
    <row r="55" spans="1:10" ht="12" customHeight="1">
      <c r="A55" s="233"/>
      <c r="B55" s="233"/>
      <c r="C55" s="233"/>
      <c r="D55" s="233"/>
      <c r="E55" s="233"/>
      <c r="F55" s="233"/>
    </row>
    <row r="56" spans="1:10" s="236" customFormat="1">
      <c r="A56" s="234" t="s">
        <v>190</v>
      </c>
      <c r="B56" s="234"/>
      <c r="C56" s="313"/>
      <c r="D56" s="313"/>
      <c r="E56" s="235"/>
      <c r="F56" s="235"/>
    </row>
    <row r="57" spans="1:10" ht="3.6" customHeight="1">
      <c r="A57" s="233"/>
      <c r="B57" s="233"/>
      <c r="C57" s="233"/>
      <c r="D57" s="233"/>
      <c r="E57" s="233"/>
      <c r="F57" s="233"/>
    </row>
    <row r="58" spans="1:10">
      <c r="A58" s="237" t="s">
        <v>191</v>
      </c>
      <c r="B58" s="238"/>
      <c r="C58" s="239"/>
      <c r="D58" s="239"/>
      <c r="E58" s="239"/>
      <c r="F58" s="240"/>
    </row>
    <row r="59" spans="1:10" s="316" customFormat="1">
      <c r="A59" s="308" t="s">
        <v>192</v>
      </c>
      <c r="B59" s="309"/>
      <c r="C59" s="264"/>
      <c r="D59" s="314"/>
      <c r="E59" s="314"/>
      <c r="F59" s="315"/>
    </row>
    <row r="60" spans="1:10" ht="3.6" customHeight="1">
      <c r="A60" s="233"/>
      <c r="B60" s="233"/>
      <c r="C60" s="233"/>
      <c r="D60" s="233"/>
      <c r="E60" s="233"/>
      <c r="F60" s="233"/>
    </row>
    <row r="61" spans="1:10">
      <c r="A61" s="237" t="s">
        <v>193</v>
      </c>
      <c r="B61" s="238"/>
      <c r="C61" s="239"/>
      <c r="D61" s="239"/>
      <c r="E61" s="239"/>
      <c r="F61" s="240"/>
    </row>
    <row r="62" spans="1:10">
      <c r="A62" s="319" t="s">
        <v>194</v>
      </c>
      <c r="B62" s="320"/>
      <c r="C62" s="918" t="s">
        <v>528</v>
      </c>
      <c r="D62" s="322"/>
      <c r="E62" s="322"/>
      <c r="F62" s="323"/>
    </row>
    <row r="63" spans="1:10">
      <c r="A63" s="324" t="s">
        <v>195</v>
      </c>
      <c r="B63" s="325"/>
      <c r="C63" s="1432">
        <f>C93*'T1 NSA'!M68-(C100*'T1 NSA'!R68+C101*'T1 NSA'!L68) -'T3 NSA'!D103-'T3 NSA'!D104-(('T3 NSA'!D103/-('T1'!R68/'T2'!C104-1)+'T3 NSA'!D104/-('T1'!L68/'T2'!C105-1))*C40)</f>
        <v>502.32736895759763</v>
      </c>
      <c r="D63" s="326"/>
      <c r="E63" s="326"/>
      <c r="F63" s="327"/>
      <c r="H63" s="1457">
        <f>((C93-('T3 NSA'!E11+'T3 NSA'!E22+'T3 NSA'!E75+'T3 NSA'!E80+'T3 NSA'!E91+'T3 NSA'!E102+'T3 NSA'!E108+'T3 NSA'!E119+'T3 NSA'!E130+'T3 NSA'!E141+'T3 NSA'!E152+'T3 NSA'!F11+'T3 NSA'!F22+'T3 NSA'!F75+'T3 NSA'!F80+'T3 NSA'!F91+'T3 NSA'!F102+'T3 NSA'!F108+'T3 NSA'!F119+'T3 NSA'!F130+'T3 NSA'!F141+'T3 NSA'!F152)/C92)*'T1 NSA'!M68)-((C100*'T2'!C104-('T3 NSA'!E11+'T3 NSA'!E22+'T3 NSA'!E75+'T3 NSA'!E80+'T3 NSA'!E91+'T3 NSA'!E102+'T3 NSA'!E108+'T3 NSA'!E119+'T3 NSA'!E130+'T3 NSA'!E141+'T3 NSA'!E152))*'T1 NSA'!R68/'T2'!C104)-((C101*'T2'!C105-('T3 NSA'!F11+'T3 NSA'!F22+'T3 NSA'!F75+'T3 NSA'!F80+'T3 NSA'!F91+'T3 NSA'!F102+'T3 NSA'!F108+'T3 NSA'!F119+'T3 NSA'!F130+'T3 NSA'!F141+'T3 NSA'!F152))*'T1 NSA'!L68/'T2'!C105)</f>
        <v>502.32736895759774</v>
      </c>
      <c r="I63" s="1457">
        <f>((C93-('T3 NSA'!E183+'T3 NSA'!F183)/C92)*'T1 NSA'!M68)-((C100*'T2'!C104-('T3 NSA'!E183))*'T1 NSA'!R68/'T2'!C104)-((C101*'T2'!C105-('T3 NSA'!F183))*'T1 NSA'!L68/'T2'!C105)</f>
        <v>502.32736895759774</v>
      </c>
    </row>
    <row r="64" spans="1:10" ht="3" customHeight="1">
      <c r="A64" s="233"/>
      <c r="B64" s="233"/>
      <c r="C64" s="233"/>
      <c r="D64" s="233"/>
      <c r="E64" s="233"/>
      <c r="F64" s="233"/>
    </row>
    <row r="65" spans="1:8">
      <c r="A65" s="237" t="s">
        <v>196</v>
      </c>
      <c r="B65" s="238"/>
      <c r="C65" s="239"/>
      <c r="D65" s="239"/>
      <c r="E65" s="239"/>
      <c r="F65" s="240"/>
    </row>
    <row r="66" spans="1:8">
      <c r="A66" s="324" t="s">
        <v>197</v>
      </c>
      <c r="B66" s="325"/>
      <c r="C66" s="946"/>
      <c r="D66" s="1160"/>
      <c r="E66" s="1160"/>
      <c r="F66" s="1161"/>
    </row>
    <row r="67" spans="1:8" ht="3" customHeight="1">
      <c r="A67" s="233"/>
      <c r="B67" s="233"/>
      <c r="C67" s="233"/>
      <c r="D67" s="233"/>
      <c r="E67" s="233"/>
      <c r="F67" s="233"/>
    </row>
    <row r="68" spans="1:8">
      <c r="A68" s="237" t="s">
        <v>198</v>
      </c>
      <c r="B68" s="238"/>
      <c r="C68" s="293"/>
      <c r="D68" s="293"/>
      <c r="E68" s="293"/>
      <c r="F68" s="294"/>
    </row>
    <row r="69" spans="1:8">
      <c r="A69" s="329" t="s">
        <v>199</v>
      </c>
      <c r="B69" s="330"/>
      <c r="C69" s="957">
        <v>0</v>
      </c>
      <c r="D69" s="957">
        <v>0</v>
      </c>
      <c r="E69" s="957">
        <v>0</v>
      </c>
      <c r="F69" s="1235">
        <v>0</v>
      </c>
      <c r="H69" s="1067"/>
    </row>
    <row r="70" spans="1:8">
      <c r="A70" s="281" t="s">
        <v>200</v>
      </c>
      <c r="B70" s="282"/>
      <c r="C70" s="958">
        <v>0</v>
      </c>
      <c r="D70" s="958">
        <v>0</v>
      </c>
      <c r="E70" s="958">
        <v>0</v>
      </c>
      <c r="F70" s="1236">
        <v>0</v>
      </c>
    </row>
    <row r="71" spans="1:8">
      <c r="A71" s="281" t="s">
        <v>201</v>
      </c>
      <c r="B71" s="282"/>
      <c r="C71" s="958">
        <v>0</v>
      </c>
      <c r="D71" s="958">
        <v>0</v>
      </c>
      <c r="E71" s="958">
        <v>0</v>
      </c>
      <c r="F71" s="1236">
        <v>0</v>
      </c>
    </row>
    <row r="72" spans="1:8">
      <c r="A72" s="281" t="s">
        <v>202</v>
      </c>
      <c r="B72" s="282"/>
      <c r="C72" s="1061">
        <v>0</v>
      </c>
      <c r="D72" s="1061">
        <v>0</v>
      </c>
      <c r="E72" s="1237">
        <v>0</v>
      </c>
      <c r="F72" s="1238">
        <v>0</v>
      </c>
    </row>
    <row r="73" spans="1:8">
      <c r="A73" s="331" t="s">
        <v>203</v>
      </c>
      <c r="B73" s="332"/>
      <c r="C73" s="955">
        <f>SUM(C69:C72)</f>
        <v>0</v>
      </c>
      <c r="D73" s="243">
        <f>SUM(D69:D72)</f>
        <v>0</v>
      </c>
      <c r="E73" s="333">
        <f t="shared" ref="E73:F73" si="0">SUM(E69:E72)</f>
        <v>0</v>
      </c>
      <c r="F73" s="949">
        <f t="shared" si="0"/>
        <v>0</v>
      </c>
    </row>
    <row r="74" spans="1:8" ht="4.1500000000000004" customHeight="1">
      <c r="A74" s="336"/>
      <c r="B74" s="336"/>
      <c r="C74" s="338"/>
      <c r="D74" s="338"/>
      <c r="E74" s="338"/>
      <c r="F74" s="338"/>
    </row>
    <row r="75" spans="1:8">
      <c r="A75" s="237" t="s">
        <v>204</v>
      </c>
      <c r="B75" s="238"/>
      <c r="C75" s="919" t="s">
        <v>529</v>
      </c>
      <c r="D75" s="293"/>
      <c r="E75" s="293"/>
      <c r="F75" s="294"/>
    </row>
    <row r="76" spans="1:8" s="316" customFormat="1">
      <c r="A76" s="921" t="s">
        <v>205</v>
      </c>
      <c r="B76" s="922"/>
      <c r="C76" s="264"/>
      <c r="D76" s="334"/>
      <c r="E76" s="334"/>
      <c r="F76" s="335"/>
    </row>
    <row r="77" spans="1:8" ht="10.15" customHeight="1">
      <c r="A77" s="336"/>
      <c r="B77" s="336"/>
      <c r="C77" s="337"/>
      <c r="D77" s="338"/>
      <c r="E77" s="338"/>
      <c r="F77" s="338"/>
    </row>
    <row r="78" spans="1:8">
      <c r="A78" s="339" t="s">
        <v>206</v>
      </c>
      <c r="B78" s="340"/>
      <c r="C78" s="341">
        <f>C19+C28+C41+C46+C54+C59+C63+C66+C73+C76</f>
        <v>502.32736895759763</v>
      </c>
      <c r="D78" s="341">
        <f>D19+D28+D41+D46+D54+D59+D63+D66+D73+D76</f>
        <v>0</v>
      </c>
      <c r="E78" s="341">
        <f t="shared" ref="E78:F78" si="1">E19+E28+E41+E46+E54+E59+E63+E66+E73+E76</f>
        <v>0</v>
      </c>
      <c r="F78" s="954">
        <f t="shared" si="1"/>
        <v>0</v>
      </c>
    </row>
    <row r="79" spans="1:8" ht="26.1" customHeight="1">
      <c r="A79" s="342"/>
      <c r="B79" s="233"/>
      <c r="C79" s="343"/>
      <c r="D79" s="343"/>
      <c r="E79" s="343"/>
      <c r="F79" s="343"/>
    </row>
    <row r="80" spans="1:8" ht="12.75" customHeight="1">
      <c r="A80" s="1511" t="s">
        <v>207</v>
      </c>
      <c r="B80" s="1512"/>
      <c r="C80" s="231" t="s">
        <v>498</v>
      </c>
      <c r="D80" s="231">
        <v>2022</v>
      </c>
      <c r="E80" s="231">
        <v>2023</v>
      </c>
      <c r="F80" s="232">
        <v>2024</v>
      </c>
    </row>
    <row r="81" spans="1:21">
      <c r="A81" s="266" t="s">
        <v>208</v>
      </c>
      <c r="B81" s="267"/>
      <c r="C81" s="344">
        <f>+C12</f>
        <v>1666.865873295</v>
      </c>
      <c r="D81" s="344">
        <f>+D12</f>
        <v>859.3509698109001</v>
      </c>
      <c r="E81" s="344">
        <f>+E12</f>
        <v>876.53798920711802</v>
      </c>
      <c r="F81" s="345">
        <f>+F12</f>
        <v>894.06874899126024</v>
      </c>
    </row>
    <row r="82" spans="1:21">
      <c r="A82" s="255" t="s">
        <v>209</v>
      </c>
      <c r="B82" s="256"/>
      <c r="C82" s="346">
        <f>'T3 NSA'!E17+'T3 NSA'!F17</f>
        <v>56.343693817665923</v>
      </c>
      <c r="D82" s="346">
        <f>'T3 NSA'!G17</f>
        <v>0</v>
      </c>
      <c r="E82" s="346">
        <f>'T3 NSA'!H17</f>
        <v>0</v>
      </c>
      <c r="F82" s="347">
        <f>'T3 NSA'!I17</f>
        <v>0</v>
      </c>
    </row>
    <row r="83" spans="1:21">
      <c r="A83" s="255" t="s">
        <v>210</v>
      </c>
      <c r="B83" s="256"/>
      <c r="C83" s="346">
        <f>'T3 NSA'!E28+'T3 NSA'!F28</f>
        <v>0</v>
      </c>
      <c r="D83" s="346">
        <f>'T3 NSA'!G28</f>
        <v>0</v>
      </c>
      <c r="E83" s="346">
        <f>'T3 NSA'!H28</f>
        <v>0</v>
      </c>
      <c r="F83" s="347">
        <f>'T3 NSA'!I28</f>
        <v>0</v>
      </c>
    </row>
    <row r="84" spans="1:21">
      <c r="A84" s="348" t="s">
        <v>211</v>
      </c>
      <c r="B84" s="282"/>
      <c r="C84" s="346">
        <f>'T3 NSA'!E35+'T3 NSA'!E42+'T3 NSA'!E49+'T3 NSA'!E56+'T3 NSA'!E63+'T3 NSA'!E70+'T3 NSA'!E75+'T3 NSA'!F35+'T3 NSA'!F42+'T3 NSA'!F49+'T3 NSA'!F56+'T3 NSA'!F63+'T3 NSA'!F70+'T3 NSA'!F75</f>
        <v>0</v>
      </c>
      <c r="D84" s="346">
        <f>'T3 NSA'!G35+'T3 NSA'!G42+'T3 NSA'!G49+'T3 NSA'!G56+'T3 NSA'!G63+'T3 NSA'!G70+'T3 NSA'!G75</f>
        <v>0</v>
      </c>
      <c r="E84" s="346">
        <f>'T3 NSA'!H35+'T3 NSA'!H42+'T3 NSA'!H49+'T3 NSA'!H56+'T3 NSA'!H63+'T3 NSA'!H70+'T3 NSA'!H75</f>
        <v>0</v>
      </c>
      <c r="F84" s="347">
        <f>'T3 NSA'!I35+'T3 NSA'!I42+'T3 NSA'!I49+'T3 NSA'!I56+'T3 NSA'!I63+'T3 NSA'!I70+'T3 NSA'!I75</f>
        <v>0</v>
      </c>
    </row>
    <row r="85" spans="1:21">
      <c r="A85" s="348" t="s">
        <v>212</v>
      </c>
      <c r="B85" s="282"/>
      <c r="C85" s="346">
        <f>'T3 NSA'!E86+'T3 NSA'!F86</f>
        <v>0</v>
      </c>
      <c r="D85" s="346">
        <f>'T3 NSA'!G86</f>
        <v>0</v>
      </c>
      <c r="E85" s="346">
        <f>'T3 NSA'!H86</f>
        <v>0</v>
      </c>
      <c r="F85" s="347">
        <f>'T3 NSA'!I86</f>
        <v>0</v>
      </c>
    </row>
    <row r="86" spans="1:21">
      <c r="A86" s="348" t="s">
        <v>213</v>
      </c>
      <c r="B86" s="282"/>
      <c r="C86" s="346">
        <f>'T3 NSA'!E97+'T3 NSA'!F97</f>
        <v>0</v>
      </c>
      <c r="D86" s="346">
        <f>'T3 NSA'!G97</f>
        <v>0</v>
      </c>
      <c r="E86" s="346">
        <f>'T3 NSA'!H97</f>
        <v>0</v>
      </c>
      <c r="F86" s="347">
        <f>'T3 NSA'!I97</f>
        <v>0</v>
      </c>
    </row>
    <row r="87" spans="1:21">
      <c r="A87" s="348" t="s">
        <v>214</v>
      </c>
      <c r="B87" s="282"/>
      <c r="C87" s="346">
        <f>'T3 NSA'!E114+'T3 NSA'!F114</f>
        <v>294.50946162450657</v>
      </c>
      <c r="D87" s="346">
        <f>'T3 NSA'!G114</f>
        <v>80.199500636495799</v>
      </c>
      <c r="E87" s="1433">
        <f>'T3 NSA'!H114</f>
        <v>91.555405087852819</v>
      </c>
      <c r="F87" s="347">
        <f>'T3 NSA'!I114</f>
        <v>0</v>
      </c>
    </row>
    <row r="88" spans="1:21">
      <c r="A88" s="279" t="s">
        <v>215</v>
      </c>
      <c r="B88" s="280"/>
      <c r="C88" s="346">
        <f>'T3 NSA'!E125+'T3 NSA'!E136+'T3 NSA'!E147+'T3 NSA'!E158+'T3 NSA'!F125+'T3 NSA'!F136+'T3 NSA'!F147+'T3 NSA'!F158</f>
        <v>0</v>
      </c>
      <c r="D88" s="346">
        <f>'T3 NSA'!G125+'T3 NSA'!G136+'T3 NSA'!G147+'T3 NSA'!G158</f>
        <v>0</v>
      </c>
      <c r="E88" s="346">
        <f>'T3 NSA'!H125+'T3 NSA'!H136+'T3 NSA'!H147+'T3 NSA'!H158</f>
        <v>0</v>
      </c>
      <c r="F88" s="347">
        <f>'T3 NSA'!I125+'T3 NSA'!I136+'T3 NSA'!I147+'T3 NSA'!I158</f>
        <v>0</v>
      </c>
    </row>
    <row r="89" spans="1:21">
      <c r="A89" s="279" t="s">
        <v>216</v>
      </c>
      <c r="B89" s="280"/>
      <c r="C89" s="346">
        <f>'T3 NSA'!E172+'T3 NSA'!F172</f>
        <v>0</v>
      </c>
      <c r="D89" s="346">
        <f>'T3 NSA'!G172</f>
        <v>0</v>
      </c>
      <c r="E89" s="346">
        <f>'T3 NSA'!H172</f>
        <v>0</v>
      </c>
      <c r="F89" s="347">
        <f>'T3 NSA'!I172</f>
        <v>0</v>
      </c>
    </row>
    <row r="90" spans="1:21">
      <c r="A90" s="348" t="s">
        <v>217</v>
      </c>
      <c r="B90" s="349"/>
      <c r="C90" s="350">
        <f>'T3 NSA'!E165+'T3 NSA'!F165</f>
        <v>0</v>
      </c>
      <c r="D90" s="350">
        <f>'T3 NSA'!G165</f>
        <v>0</v>
      </c>
      <c r="E90" s="1434">
        <f>'T3 NSA'!H165</f>
        <v>0</v>
      </c>
      <c r="F90" s="1435">
        <f>'T3 NSA'!I165</f>
        <v>0</v>
      </c>
    </row>
    <row r="91" spans="1:21">
      <c r="A91" s="351" t="s">
        <v>218</v>
      </c>
      <c r="B91" s="352"/>
      <c r="C91" s="353">
        <f t="shared" ref="C91" si="2">SUM(C81:C90)</f>
        <v>2017.7190287371727</v>
      </c>
      <c r="D91" s="353">
        <f>SUM(D81:D90)</f>
        <v>939.55047044739592</v>
      </c>
      <c r="E91" s="353">
        <f>SUM(E81:E90)</f>
        <v>968.09339429497084</v>
      </c>
      <c r="F91" s="353">
        <f>SUM(F81:F90)</f>
        <v>894.06874899126024</v>
      </c>
    </row>
    <row r="92" spans="1:21">
      <c r="A92" s="277" t="s">
        <v>219</v>
      </c>
      <c r="B92" s="278"/>
      <c r="C92" s="311">
        <f>'T1 NSA'!M68</f>
        <v>273.56971650974202</v>
      </c>
      <c r="D92" s="311">
        <f>'T1 NSA'!N68</f>
        <v>204.80311130053201</v>
      </c>
      <c r="E92" s="311">
        <f>'T1 NSA'!O68</f>
        <v>240.42251109710699</v>
      </c>
      <c r="F92" s="311">
        <f>'T1 NSA'!P68</f>
        <v>258.33819951035298</v>
      </c>
    </row>
    <row r="93" spans="1:21">
      <c r="A93" s="277" t="s">
        <v>220</v>
      </c>
      <c r="B93" s="278"/>
      <c r="C93" s="354">
        <f t="shared" ref="C93:F93" si="3">C91/C92</f>
        <v>7.3755204138807526</v>
      </c>
      <c r="D93" s="354">
        <f t="shared" si="3"/>
        <v>4.5875790874518581</v>
      </c>
      <c r="E93" s="354">
        <f t="shared" si="3"/>
        <v>4.0266337369047633</v>
      </c>
      <c r="F93" s="354">
        <f t="shared" si="3"/>
        <v>3.4608460951026725</v>
      </c>
      <c r="U93" s="398"/>
    </row>
    <row r="94" spans="1:21">
      <c r="A94" s="277" t="s">
        <v>221</v>
      </c>
      <c r="B94" s="278"/>
      <c r="C94" s="850">
        <f>-(C93*'T1 NSA'!M68-(C100*'T1 NSA'!R68+C101*'T1 NSA'!L68))/C92</f>
        <v>-2.4640237350903629</v>
      </c>
      <c r="D94" s="355">
        <v>0</v>
      </c>
      <c r="E94" s="355">
        <v>0</v>
      </c>
      <c r="F94" s="356">
        <v>0</v>
      </c>
    </row>
    <row r="95" spans="1:21" ht="10.15" customHeight="1">
      <c r="A95" s="336"/>
      <c r="B95" s="336"/>
      <c r="C95" s="337"/>
      <c r="D95" s="338"/>
      <c r="E95" s="338"/>
      <c r="F95" s="338"/>
    </row>
    <row r="96" spans="1:21">
      <c r="A96" s="357" t="s">
        <v>222</v>
      </c>
      <c r="B96" s="340"/>
      <c r="C96" s="358">
        <f t="shared" ref="C96" si="4">C93+C94</f>
        <v>4.9114966787903898</v>
      </c>
      <c r="D96" s="358">
        <f t="shared" ref="D96:F96" si="5">+D93+D94</f>
        <v>4.5875790874518581</v>
      </c>
      <c r="E96" s="358">
        <f t="shared" si="5"/>
        <v>4.0266337369047633</v>
      </c>
      <c r="F96" s="560">
        <f t="shared" si="5"/>
        <v>3.4608460951026725</v>
      </c>
    </row>
    <row r="97" spans="1:18" s="360" customFormat="1">
      <c r="A97" s="342"/>
      <c r="B97" s="233"/>
      <c r="C97" s="359"/>
      <c r="D97" s="1462">
        <f>+C101+C101*1.9%</f>
        <v>5.0802210559340457</v>
      </c>
      <c r="E97" s="359"/>
      <c r="F97" s="359"/>
      <c r="G97" s="222"/>
      <c r="H97" s="222"/>
      <c r="I97" s="222"/>
      <c r="J97" s="222"/>
      <c r="K97" s="222"/>
      <c r="L97" s="222"/>
      <c r="M97" s="222"/>
      <c r="N97" s="222"/>
      <c r="O97" s="222"/>
      <c r="P97" s="222"/>
      <c r="Q97" s="222"/>
      <c r="R97" s="222"/>
    </row>
    <row r="98" spans="1:18" s="236" customFormat="1" ht="15">
      <c r="A98" s="224" t="s">
        <v>223</v>
      </c>
      <c r="B98" s="361"/>
      <c r="C98" s="362"/>
      <c r="D98" s="362"/>
      <c r="E98" s="1443" t="s">
        <v>722</v>
      </c>
      <c r="F98" s="1444"/>
    </row>
    <row r="99" spans="1:18" s="236" customFormat="1" ht="13.15" customHeight="1">
      <c r="A99" s="363" t="s">
        <v>224</v>
      </c>
      <c r="B99" s="361"/>
      <c r="C99" s="364"/>
      <c r="D99" s="362"/>
      <c r="E99" s="1445" t="s">
        <v>723</v>
      </c>
      <c r="F99" s="1446"/>
    </row>
    <row r="100" spans="1:18" s="236" customFormat="1" ht="13.15" customHeight="1">
      <c r="A100" s="848" t="s">
        <v>714</v>
      </c>
      <c r="B100" s="361"/>
      <c r="C100" s="920">
        <v>4.8347917109899337</v>
      </c>
      <c r="D100" s="1477">
        <f>+D97-D93</f>
        <v>0.49264196848218766</v>
      </c>
      <c r="E100" s="1445" t="s">
        <v>724</v>
      </c>
      <c r="F100" s="1446"/>
    </row>
    <row r="101" spans="1:18" s="236" customFormat="1" ht="13.15" customHeight="1">
      <c r="A101" s="848" t="s">
        <v>715</v>
      </c>
      <c r="B101" s="361"/>
      <c r="C101" s="920">
        <v>4.9854966201511735</v>
      </c>
      <c r="D101" s="362"/>
      <c r="E101" s="1447" t="s">
        <v>725</v>
      </c>
      <c r="F101" s="1448"/>
    </row>
    <row r="102" spans="1:18" s="236" customFormat="1">
      <c r="A102" s="848" t="s">
        <v>716</v>
      </c>
      <c r="B102" s="233"/>
      <c r="C102" s="920">
        <v>0</v>
      </c>
      <c r="D102" s="364"/>
      <c r="E102" s="364"/>
      <c r="F102" s="233"/>
    </row>
    <row r="103" spans="1:18" s="236" customFormat="1">
      <c r="A103" s="848" t="s">
        <v>717</v>
      </c>
      <c r="B103" s="233"/>
      <c r="C103" s="920">
        <v>0</v>
      </c>
      <c r="D103" s="233"/>
      <c r="E103" s="233"/>
      <c r="F103" s="233"/>
    </row>
    <row r="104" spans="1:18" s="236" customFormat="1">
      <c r="A104" s="224" t="s">
        <v>547</v>
      </c>
      <c r="B104" s="361"/>
      <c r="C104" s="362"/>
      <c r="D104" s="362"/>
      <c r="E104" s="362"/>
      <c r="F104" s="362"/>
    </row>
  </sheetData>
  <mergeCells count="4">
    <mergeCell ref="A1:F1"/>
    <mergeCell ref="C5:F5"/>
    <mergeCell ref="A7:B7"/>
    <mergeCell ref="A80:B80"/>
  </mergeCells>
  <pageMargins left="0.7" right="0.7" top="0.75" bottom="0.75" header="0.3" footer="0.3"/>
  <pageSetup paperSize="9" scale="6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tabColor theme="1"/>
    <pageSetUpPr fitToPage="1"/>
  </sheetPr>
  <dimension ref="A1:W185"/>
  <sheetViews>
    <sheetView showGridLines="0" zoomScaleNormal="100" workbookViewId="0">
      <selection activeCell="D133" sqref="D133"/>
    </sheetView>
  </sheetViews>
  <sheetFormatPr baseColWidth="10" defaultColWidth="12.5703125" defaultRowHeight="15"/>
  <cols>
    <col min="1" max="1" width="12.5703125" style="539" customWidth="1"/>
    <col min="2" max="2" width="2.28515625" style="411" customWidth="1"/>
    <col min="3" max="3" width="52.5703125" style="411" customWidth="1"/>
    <col min="4" max="4" width="7.7109375" style="1328" customWidth="1"/>
    <col min="5" max="5" width="10" style="1328" customWidth="1"/>
    <col min="6" max="6" width="10" style="1245" customWidth="1"/>
    <col min="7" max="10" width="10" style="1328" customWidth="1"/>
    <col min="11" max="11" width="3.42578125" style="411" customWidth="1"/>
    <col min="12" max="12" width="13.5703125" style="411" customWidth="1"/>
    <col min="13" max="13" width="7.7109375" style="411" customWidth="1"/>
    <col min="14" max="14" width="8.42578125" style="411" bestFit="1" customWidth="1"/>
    <col min="15" max="15" width="7.7109375" style="411" customWidth="1"/>
    <col min="16" max="16" width="16.42578125" style="411" customWidth="1"/>
    <col min="17" max="24" width="7.7109375" style="411" customWidth="1"/>
    <col min="25" max="16384" width="12.5703125" style="411"/>
  </cols>
  <sheetData>
    <row r="1" spans="1:23" ht="12" customHeight="1">
      <c r="C1" s="1519" t="s">
        <v>225</v>
      </c>
      <c r="D1" s="1519"/>
      <c r="E1" s="1519"/>
      <c r="F1" s="1519"/>
      <c r="G1" s="1519"/>
      <c r="H1" s="1519"/>
      <c r="I1" s="1519"/>
      <c r="J1" s="1519"/>
      <c r="K1" s="412"/>
      <c r="L1" s="412"/>
      <c r="M1" s="412"/>
      <c r="N1" s="412"/>
      <c r="O1" s="412"/>
      <c r="P1" s="412"/>
      <c r="Q1" s="412"/>
      <c r="R1" s="412"/>
      <c r="S1" s="412"/>
      <c r="T1" s="412"/>
      <c r="U1" s="412"/>
      <c r="V1" s="412"/>
      <c r="W1" s="412"/>
    </row>
    <row r="2" spans="1:23" ht="12" customHeight="1">
      <c r="C2" s="413"/>
      <c r="D2" s="1379"/>
      <c r="E2" s="1379"/>
      <c r="G2" s="1379"/>
      <c r="H2" s="1379"/>
      <c r="I2" s="1379"/>
      <c r="J2" s="1379"/>
      <c r="K2" s="413"/>
    </row>
    <row r="3" spans="1:23" ht="12" customHeight="1">
      <c r="C3" s="541" t="str">
        <f>'T2'!A3</f>
        <v>Norway - TCZ</v>
      </c>
      <c r="D3" s="1379"/>
      <c r="E3" s="1379"/>
      <c r="G3" s="1379"/>
      <c r="H3" s="1379"/>
      <c r="I3" s="1379"/>
      <c r="J3" s="1379"/>
      <c r="K3" s="413"/>
    </row>
    <row r="4" spans="1:23" ht="12" customHeight="1">
      <c r="C4" s="542" t="str">
        <f>'T2'!A4</f>
        <v>Currency: NOK</v>
      </c>
      <c r="D4" s="1379"/>
      <c r="E4" s="1379"/>
      <c r="G4" s="1379"/>
      <c r="H4" s="1379"/>
      <c r="I4" s="1379"/>
      <c r="J4" s="1379"/>
      <c r="K4" s="413"/>
    </row>
    <row r="5" spans="1:23" ht="12" customHeight="1">
      <c r="C5" s="543" t="str">
        <f>'T2'!A5</f>
        <v>All Entities</v>
      </c>
      <c r="D5" s="1379"/>
      <c r="E5" s="1246"/>
      <c r="G5" s="1247"/>
      <c r="H5" s="1379"/>
      <c r="I5" s="1379"/>
      <c r="J5" s="1379"/>
      <c r="K5" s="413"/>
    </row>
    <row r="6" spans="1:23" ht="12" customHeight="1">
      <c r="C6" s="414"/>
      <c r="D6" s="1248"/>
      <c r="E6" s="1248"/>
      <c r="F6" s="1248"/>
      <c r="G6" s="1248"/>
      <c r="H6" s="1248"/>
      <c r="I6" s="1248"/>
      <c r="J6" s="1248"/>
      <c r="K6" s="414"/>
    </row>
    <row r="7" spans="1:23" ht="12" customHeight="1">
      <c r="A7" s="425" t="s">
        <v>226</v>
      </c>
      <c r="B7" s="425"/>
      <c r="C7" s="415" t="s">
        <v>227</v>
      </c>
      <c r="D7" s="1249" t="s">
        <v>228</v>
      </c>
      <c r="E7" s="1250">
        <v>2020</v>
      </c>
      <c r="F7" s="1251">
        <v>2021</v>
      </c>
      <c r="G7" s="1251">
        <v>2022</v>
      </c>
      <c r="H7" s="1251">
        <v>2023</v>
      </c>
      <c r="I7" s="1380">
        <v>2024</v>
      </c>
      <c r="J7" s="415" t="s">
        <v>229</v>
      </c>
      <c r="K7" s="413"/>
    </row>
    <row r="8" spans="1:23" ht="12" customHeight="1">
      <c r="A8" s="425"/>
      <c r="B8" s="425"/>
      <c r="C8" s="416"/>
      <c r="D8" s="1253"/>
      <c r="E8" s="1253"/>
      <c r="F8" s="1253"/>
      <c r="G8" s="1253"/>
      <c r="H8" s="1253"/>
      <c r="I8" s="1381"/>
      <c r="J8" s="1253"/>
      <c r="K8" s="413"/>
    </row>
    <row r="9" spans="1:23" ht="12" customHeight="1">
      <c r="A9" s="425">
        <v>2018</v>
      </c>
      <c r="B9" s="425"/>
      <c r="C9" s="417" t="s">
        <v>230</v>
      </c>
      <c r="D9" s="1254">
        <f>'T3 ANSP'!D9+'T3 MET'!D9+'T3 NSA'!D9</f>
        <v>12445.444714233903</v>
      </c>
      <c r="E9" s="1255">
        <f>'T3 ANSP'!E9+'T3 MET'!E9+'T3 NSA'!E9</f>
        <v>12445.444714233903</v>
      </c>
      <c r="F9" s="1256">
        <f>'T3 ANSP'!F9+'T3 MET'!F9+'T3 NSA'!F9</f>
        <v>0</v>
      </c>
      <c r="G9" s="1257">
        <f>'T3 ANSP'!G9+'T3 MET'!G9+'T3 NSA'!G9</f>
        <v>0</v>
      </c>
      <c r="H9" s="1257">
        <f>'T3 ANSP'!H9+'T3 MET'!H9+'T3 NSA'!H9</f>
        <v>0</v>
      </c>
      <c r="I9" s="1288">
        <f>'T3 ANSP'!I9+'T3 MET'!I9+'T3 NSA'!I9</f>
        <v>0</v>
      </c>
      <c r="J9" s="1259">
        <f>'T3 ANSP'!J9+'T3 MET'!J9+'T3 NSA'!J9</f>
        <v>0</v>
      </c>
      <c r="L9" s="418"/>
    </row>
    <row r="10" spans="1:23" ht="12" customHeight="1">
      <c r="A10" s="425">
        <v>2019</v>
      </c>
      <c r="B10" s="425"/>
      <c r="C10" s="419" t="s">
        <v>231</v>
      </c>
      <c r="D10" s="1260">
        <f>'T3 ANSP'!D10+'T3 MET'!D10+'T3 NSA'!D10</f>
        <v>11542.048054354516</v>
      </c>
      <c r="E10" s="1261">
        <f>'T3 ANSP'!E10+'T3 MET'!E10+'T3 NSA'!E10</f>
        <v>0</v>
      </c>
      <c r="F10" s="1262">
        <f>'T3 ANSP'!F10+'T3 MET'!F10+'T3 NSA'!F10</f>
        <v>11542.048054354516</v>
      </c>
      <c r="G10" s="1263">
        <f>'T3 ANSP'!G10+'T3 MET'!G10+'T3 NSA'!G10</f>
        <v>0</v>
      </c>
      <c r="H10" s="1263">
        <f>'T3 ANSP'!H10+'T3 MET'!H10+'T3 NSA'!H10</f>
        <v>0</v>
      </c>
      <c r="I10" s="1264">
        <f>'T3 ANSP'!I10+'T3 MET'!I10+'T3 NSA'!I10</f>
        <v>0</v>
      </c>
      <c r="J10" s="1265">
        <f>'T3 ANSP'!J10+'T3 MET'!J10+'T3 NSA'!J10</f>
        <v>0</v>
      </c>
      <c r="L10" s="418"/>
    </row>
    <row r="11" spans="1:23" ht="12" customHeight="1">
      <c r="A11" s="425" t="s">
        <v>232</v>
      </c>
      <c r="B11" s="425"/>
      <c r="C11" s="556" t="s">
        <v>233</v>
      </c>
      <c r="D11" s="1266">
        <f>'T3 ANSP'!D11+'T3 MET'!D11+'T3 NSA'!D11</f>
        <v>23987.492768588421</v>
      </c>
      <c r="E11" s="1267">
        <f>'T3 ANSP'!E11+'T3 MET'!E11+'T3 NSA'!E11</f>
        <v>12445.444714233903</v>
      </c>
      <c r="F11" s="1268">
        <f>'T3 ANSP'!F11+'T3 MET'!F11+'T3 NSA'!F11</f>
        <v>11542.048054354516</v>
      </c>
      <c r="G11" s="1360">
        <f>'T3 ANSP'!G11+'T3 MET'!G11+'T3 NSA'!G11</f>
        <v>0</v>
      </c>
      <c r="H11" s="1360">
        <f>'T3 ANSP'!H11+'T3 MET'!H11+'T3 NSA'!H11</f>
        <v>0</v>
      </c>
      <c r="I11" s="1361">
        <f>'T3 ANSP'!I11+'T3 MET'!I11+'T3 NSA'!I11</f>
        <v>0</v>
      </c>
      <c r="J11" s="1290">
        <f>'T3 ANSP'!J11+'T3 MET'!J11+'T3 NSA'!J11</f>
        <v>0</v>
      </c>
      <c r="L11" s="418"/>
    </row>
    <row r="12" spans="1:23" ht="12" customHeight="1">
      <c r="A12" s="425" t="s">
        <v>500</v>
      </c>
      <c r="B12" s="425"/>
      <c r="C12" s="943"/>
      <c r="D12" s="1272"/>
      <c r="E12" s="1272"/>
      <c r="F12" s="1272"/>
      <c r="G12" s="1272"/>
      <c r="H12" s="1272"/>
      <c r="I12" s="1272"/>
      <c r="J12" s="1272"/>
      <c r="K12" s="425"/>
      <c r="L12" s="418"/>
    </row>
    <row r="13" spans="1:23" ht="12" customHeight="1">
      <c r="A13" s="425" t="s">
        <v>501</v>
      </c>
      <c r="B13" s="425"/>
      <c r="C13" s="419" t="s">
        <v>510</v>
      </c>
      <c r="D13" s="1260">
        <f>'T3 ANSP'!D13+'T3 MET'!D13+'T3 NSA'!D13</f>
        <v>0</v>
      </c>
      <c r="E13" s="1261">
        <f>'T3 ANSP'!E13+'T3 MET'!E13+'T3 NSA'!E13</f>
        <v>0</v>
      </c>
      <c r="F13" s="1304">
        <f>'T3 ANSP'!F13+'T3 MET'!F13+'T3 NSA'!F13</f>
        <v>0</v>
      </c>
      <c r="G13" s="1263">
        <f>'T3 ANSP'!G13+'T3 MET'!G13+'T3 NSA'!G13</f>
        <v>0</v>
      </c>
      <c r="H13" s="1314">
        <f>'T3 ANSP'!H13+'T3 MET'!H13+'T3 NSA'!H13</f>
        <v>0</v>
      </c>
      <c r="I13" s="1264">
        <f>'T3 ANSP'!I13+'T3 MET'!I13+'T3 NSA'!I13</f>
        <v>0</v>
      </c>
      <c r="J13" s="1265">
        <f>'T3 ANSP'!J13+'T3 MET'!J13+'T3 NSA'!J13</f>
        <v>0</v>
      </c>
      <c r="L13" s="418"/>
    </row>
    <row r="14" spans="1:23" ht="12" customHeight="1">
      <c r="A14" s="425">
        <v>2022</v>
      </c>
      <c r="B14" s="425"/>
      <c r="C14" s="419" t="s">
        <v>234</v>
      </c>
      <c r="D14" s="1260">
        <f>'T3 ANSP'!D14+'T3 MET'!D14+'T3 NSA'!D14</f>
        <v>0</v>
      </c>
      <c r="E14" s="1261">
        <f>'T3 ANSP'!E14+'T3 MET'!E14+'T3 NSA'!E14</f>
        <v>0</v>
      </c>
      <c r="F14" s="1304">
        <f>'T3 ANSP'!F14+'T3 MET'!F14+'T3 NSA'!F14</f>
        <v>0</v>
      </c>
      <c r="G14" s="1263">
        <f>'T3 ANSP'!G14+'T3 MET'!G14+'T3 NSA'!G14</f>
        <v>0</v>
      </c>
      <c r="H14" s="1263">
        <f>'T3 ANSP'!H14+'T3 MET'!H14+'T3 NSA'!H14</f>
        <v>0</v>
      </c>
      <c r="I14" s="1305">
        <f>'T3 ANSP'!I14+'T3 MET'!I14+'T3 NSA'!I14</f>
        <v>0</v>
      </c>
      <c r="J14" s="1265">
        <f>'T3 ANSP'!J14+'T3 MET'!J14+'T3 NSA'!J14</f>
        <v>0</v>
      </c>
      <c r="L14" s="418"/>
    </row>
    <row r="15" spans="1:23" ht="12" customHeight="1">
      <c r="A15" s="425">
        <v>2023</v>
      </c>
      <c r="B15" s="425"/>
      <c r="C15" s="419" t="s">
        <v>235</v>
      </c>
      <c r="D15" s="1260">
        <f>'T3 ANSP'!D15+'T3 MET'!D15+'T3 NSA'!D15</f>
        <v>0</v>
      </c>
      <c r="E15" s="1261">
        <f>'T3 ANSP'!E15+'T3 MET'!E15+'T3 NSA'!E15</f>
        <v>0</v>
      </c>
      <c r="F15" s="1304">
        <f>'T3 ANSP'!F15+'T3 MET'!F15+'T3 NSA'!F15</f>
        <v>0</v>
      </c>
      <c r="G15" s="1263">
        <f>'T3 ANSP'!G15+'T3 MET'!G15+'T3 NSA'!G15</f>
        <v>0</v>
      </c>
      <c r="H15" s="1263">
        <f>'T3 ANSP'!H15+'T3 MET'!H15+'T3 NSA'!H15</f>
        <v>0</v>
      </c>
      <c r="I15" s="1264">
        <f>'T3 ANSP'!I15+'T3 MET'!I15+'T3 NSA'!I15</f>
        <v>0</v>
      </c>
      <c r="J15" s="1326">
        <f>'T3 ANSP'!J15+'T3 MET'!J15+'T3 NSA'!J15</f>
        <v>0</v>
      </c>
      <c r="L15" s="418"/>
    </row>
    <row r="16" spans="1:23" ht="12" customHeight="1">
      <c r="A16" s="425">
        <v>2024</v>
      </c>
      <c r="B16" s="425"/>
      <c r="C16" s="421" t="s">
        <v>236</v>
      </c>
      <c r="D16" s="1322">
        <f>'T3 ANSP'!D16+'T3 MET'!D16+'T3 NSA'!D16</f>
        <v>0</v>
      </c>
      <c r="E16" s="1307">
        <f>'T3 ANSP'!E16+'T3 MET'!E16+'T3 NSA'!E16</f>
        <v>0</v>
      </c>
      <c r="F16" s="1308">
        <f>'T3 ANSP'!F16+'T3 MET'!F16+'T3 NSA'!F16</f>
        <v>0</v>
      </c>
      <c r="G16" s="1308">
        <f>'T3 ANSP'!G16+'T3 MET'!G16+'T3 NSA'!G16</f>
        <v>0</v>
      </c>
      <c r="H16" s="1308">
        <f>'T3 ANSP'!H16+'T3 MET'!H16+'T3 NSA'!H16</f>
        <v>0</v>
      </c>
      <c r="I16" s="1382">
        <f>'T3 ANSP'!I16+'T3 MET'!I16+'T3 NSA'!I16</f>
        <v>0</v>
      </c>
      <c r="J16" s="1327">
        <f>'T3 ANSP'!J16+'T3 MET'!J16+'T3 NSA'!J16</f>
        <v>0</v>
      </c>
      <c r="L16" s="418"/>
    </row>
    <row r="17" spans="1:12" ht="12" customHeight="1">
      <c r="A17" s="425" t="s">
        <v>237</v>
      </c>
      <c r="B17" s="425"/>
      <c r="C17" s="422" t="s">
        <v>238</v>
      </c>
      <c r="D17" s="1280">
        <f>'T3 ANSP'!D17+'T3 MET'!D17+'T3 NSA'!D17</f>
        <v>23987.492768588421</v>
      </c>
      <c r="E17" s="1281">
        <f>'T3 ANSP'!E17+'T3 MET'!E17+'T3 NSA'!E17</f>
        <v>12445.444714233903</v>
      </c>
      <c r="F17" s="1282">
        <f>'T3 ANSP'!F17+'T3 MET'!F17+'T3 NSA'!F17</f>
        <v>11542.048054354516</v>
      </c>
      <c r="G17" s="1282">
        <f>'T3 ANSP'!G17+'T3 MET'!G17+'T3 NSA'!G17</f>
        <v>0</v>
      </c>
      <c r="H17" s="1282">
        <f>'T3 ANSP'!H17+'T3 MET'!H17+'T3 NSA'!H17</f>
        <v>0</v>
      </c>
      <c r="I17" s="1283">
        <f>'T3 ANSP'!I17+'T3 MET'!I17+'T3 NSA'!I17</f>
        <v>0</v>
      </c>
      <c r="J17" s="1280">
        <f>'T3 ANSP'!J17+'T3 MET'!J17+'T3 NSA'!J17</f>
        <v>0</v>
      </c>
      <c r="L17" s="418"/>
    </row>
    <row r="18" spans="1:12" ht="4.3499999999999996" customHeight="1">
      <c r="A18" s="540"/>
      <c r="B18" s="540"/>
      <c r="C18" s="427"/>
      <c r="D18" s="1284"/>
      <c r="E18" s="1285"/>
      <c r="F18" s="1285"/>
      <c r="G18" s="1285"/>
      <c r="H18" s="1285"/>
      <c r="I18" s="1285"/>
      <c r="J18" s="1285"/>
      <c r="L18" s="418"/>
    </row>
    <row r="19" spans="1:12" ht="12" customHeight="1">
      <c r="A19" s="425">
        <v>2017</v>
      </c>
      <c r="B19" s="425"/>
      <c r="C19" s="417" t="s">
        <v>239</v>
      </c>
      <c r="D19" s="1254">
        <f>'T3 ANSP'!D19+'T3 MET'!D19+'T3 NSA'!D19</f>
        <v>0</v>
      </c>
      <c r="E19" s="1312">
        <f>'T3 ANSP'!E19+'T3 MET'!E19+'T3 NSA'!E19</f>
        <v>0</v>
      </c>
      <c r="F19" s="1303">
        <f>'T3 ANSP'!F19+'T3 MET'!F19+'T3 NSA'!F19</f>
        <v>0</v>
      </c>
      <c r="G19" s="1303">
        <f>'T3 ANSP'!G19+'T3 MET'!G19+'T3 NSA'!G19</f>
        <v>0</v>
      </c>
      <c r="H19" s="1303">
        <f>'T3 ANSP'!H19+'T3 MET'!H19+'T3 NSA'!H19</f>
        <v>0</v>
      </c>
      <c r="I19" s="1319">
        <f>'T3 ANSP'!I19+'T3 MET'!I19+'T3 NSA'!I19</f>
        <v>0</v>
      </c>
      <c r="J19" s="1254">
        <f>'T3 ANSP'!J19+'T3 MET'!J19+'T3 NSA'!J19</f>
        <v>0</v>
      </c>
      <c r="L19" s="418"/>
    </row>
    <row r="20" spans="1:12" ht="12" customHeight="1">
      <c r="A20" s="425">
        <v>2018</v>
      </c>
      <c r="B20" s="425"/>
      <c r="C20" s="419" t="s">
        <v>240</v>
      </c>
      <c r="D20" s="1260">
        <f>'T3 ANSP'!D20+'T3 MET'!D20+'T3 NSA'!D20</f>
        <v>28019.899400500635</v>
      </c>
      <c r="E20" s="1313">
        <f>'T3 ANSP'!E20+'T3 MET'!E20+'T3 NSA'!E20</f>
        <v>28019.899400500635</v>
      </c>
      <c r="F20" s="1314">
        <f>'T3 ANSP'!F20+'T3 MET'!F20+'T3 NSA'!F20</f>
        <v>0</v>
      </c>
      <c r="G20" s="1314">
        <f>'T3 ANSP'!G20+'T3 MET'!G20+'T3 NSA'!G20</f>
        <v>0</v>
      </c>
      <c r="H20" s="1314">
        <f>'T3 ANSP'!H20+'T3 MET'!H20+'T3 NSA'!H20</f>
        <v>0</v>
      </c>
      <c r="I20" s="1305">
        <f>'T3 ANSP'!I20+'T3 MET'!I20+'T3 NSA'!I20</f>
        <v>0</v>
      </c>
      <c r="J20" s="1260">
        <f>'T3 ANSP'!J20+'T3 MET'!J20+'T3 NSA'!J20</f>
        <v>0</v>
      </c>
      <c r="L20" s="418"/>
    </row>
    <row r="21" spans="1:12" ht="12" customHeight="1">
      <c r="A21" s="425">
        <v>2019</v>
      </c>
      <c r="B21" s="425"/>
      <c r="C21" s="419" t="s">
        <v>241</v>
      </c>
      <c r="D21" s="1322">
        <f>'T3 ANSP'!D21+'T3 MET'!D21+'T3 NSA'!D21</f>
        <v>38799.738837761564</v>
      </c>
      <c r="E21" s="1307">
        <f>'T3 ANSP'!E21+'T3 MET'!E21+'T3 NSA'!E21</f>
        <v>0</v>
      </c>
      <c r="F21" s="1362">
        <f>'T3 ANSP'!F21+'T3 MET'!F21+'T3 NSA'!F21</f>
        <v>38799.738837761564</v>
      </c>
      <c r="G21" s="1362">
        <f>'T3 ANSP'!G21+'T3 MET'!G21+'T3 NSA'!G21</f>
        <v>0</v>
      </c>
      <c r="H21" s="1362">
        <f>'T3 ANSP'!H21+'T3 MET'!H21+'T3 NSA'!H21</f>
        <v>0</v>
      </c>
      <c r="I21" s="1363">
        <f>'T3 ANSP'!I21+'T3 MET'!I21+'T3 NSA'!I21</f>
        <v>0</v>
      </c>
      <c r="J21" s="1322">
        <f>'T3 ANSP'!J21+'T3 MET'!J21+'T3 NSA'!J21</f>
        <v>0</v>
      </c>
      <c r="L21" s="418"/>
    </row>
    <row r="22" spans="1:12" ht="12" customHeight="1">
      <c r="A22" s="425" t="s">
        <v>232</v>
      </c>
      <c r="B22" s="425"/>
      <c r="C22" s="556" t="s">
        <v>242</v>
      </c>
      <c r="D22" s="1266">
        <f>'T3 ANSP'!D22+'T3 MET'!D22+'T3 NSA'!D22</f>
        <v>66819.638238262196</v>
      </c>
      <c r="E22" s="1325">
        <f>'T3 ANSP'!E22+'T3 MET'!E22+'T3 NSA'!E22</f>
        <v>28019.899400500635</v>
      </c>
      <c r="F22" s="1268">
        <f>'T3 ANSP'!F22+'T3 MET'!F22+'T3 NSA'!F22</f>
        <v>38799.738837761564</v>
      </c>
      <c r="G22" s="1268">
        <f>'T3 ANSP'!G22+'T3 MET'!G22+'T3 NSA'!G22</f>
        <v>0</v>
      </c>
      <c r="H22" s="1268">
        <f>'T3 ANSP'!H22+'T3 MET'!H22+'T3 NSA'!H22</f>
        <v>0</v>
      </c>
      <c r="I22" s="1320">
        <f>'T3 ANSP'!I22+'T3 MET'!I22+'T3 NSA'!I22</f>
        <v>0</v>
      </c>
      <c r="J22" s="1266">
        <f>'T3 ANSP'!J22+'T3 MET'!J22+'T3 NSA'!J22</f>
        <v>0</v>
      </c>
      <c r="L22" s="418"/>
    </row>
    <row r="23" spans="1:12" ht="12" customHeight="1">
      <c r="A23" s="425" t="s">
        <v>500</v>
      </c>
      <c r="B23" s="425"/>
      <c r="C23" s="943"/>
      <c r="D23" s="1272"/>
      <c r="E23" s="1272"/>
      <c r="F23" s="1272"/>
      <c r="G23" s="1272"/>
      <c r="H23" s="1272"/>
      <c r="I23" s="1272"/>
      <c r="J23" s="1272"/>
      <c r="K23" s="425"/>
      <c r="L23" s="418"/>
    </row>
    <row r="24" spans="1:12" ht="12" customHeight="1">
      <c r="A24" s="425" t="s">
        <v>501</v>
      </c>
      <c r="B24" s="425"/>
      <c r="C24" s="419" t="s">
        <v>502</v>
      </c>
      <c r="D24" s="1260">
        <f>'T3 ANSP'!D24+'T3 MET'!D24+'T3 NSA'!D24</f>
        <v>0</v>
      </c>
      <c r="E24" s="1261">
        <f>'T3 ANSP'!E24+'T3 MET'!E24+'T3 NSA'!E24</f>
        <v>0</v>
      </c>
      <c r="F24" s="1304">
        <f>'T3 ANSP'!F24+'T3 MET'!F24+'T3 NSA'!F24</f>
        <v>0</v>
      </c>
      <c r="G24" s="1263">
        <f>'T3 ANSP'!G24+'T3 MET'!G24+'T3 NSA'!G24</f>
        <v>0</v>
      </c>
      <c r="H24" s="1314">
        <f>'T3 ANSP'!H24+'T3 MET'!H24+'T3 NSA'!H24</f>
        <v>0</v>
      </c>
      <c r="I24" s="1314">
        <f>'T3 ANSP'!I24+'T3 MET'!I24+'T3 NSA'!I24</f>
        <v>0</v>
      </c>
      <c r="J24" s="1265">
        <f>'T3 ANSP'!J24+'T3 MET'!J24+'T3 NSA'!J24</f>
        <v>0</v>
      </c>
      <c r="L24" s="418"/>
    </row>
    <row r="25" spans="1:12" ht="12" customHeight="1">
      <c r="A25" s="425">
        <v>2022</v>
      </c>
      <c r="B25" s="425"/>
      <c r="C25" s="419" t="s">
        <v>243</v>
      </c>
      <c r="D25" s="1260">
        <f>'T3 ANSP'!D25+'T3 MET'!D25+'T3 NSA'!D25</f>
        <v>0</v>
      </c>
      <c r="E25" s="1261">
        <f>'T3 ANSP'!E25+'T3 MET'!E25+'T3 NSA'!E25</f>
        <v>0</v>
      </c>
      <c r="F25" s="1304">
        <f>'T3 ANSP'!F25+'T3 MET'!F25+'T3 NSA'!F25</f>
        <v>0</v>
      </c>
      <c r="G25" s="1263">
        <f>'T3 ANSP'!G25+'T3 MET'!G25+'T3 NSA'!G25</f>
        <v>0</v>
      </c>
      <c r="H25" s="1263">
        <f>'T3 ANSP'!H25+'T3 MET'!H25+'T3 NSA'!H25</f>
        <v>0</v>
      </c>
      <c r="I25" s="1305">
        <f>'T3 ANSP'!I25+'T3 MET'!I25+'T3 NSA'!I25</f>
        <v>0</v>
      </c>
      <c r="J25" s="1265">
        <f>'T3 ANSP'!J25+'T3 MET'!J25+'T3 NSA'!J25</f>
        <v>0</v>
      </c>
      <c r="L25" s="418"/>
    </row>
    <row r="26" spans="1:12" ht="12" customHeight="1">
      <c r="A26" s="425">
        <v>2023</v>
      </c>
      <c r="B26" s="425"/>
      <c r="C26" s="419" t="s">
        <v>244</v>
      </c>
      <c r="D26" s="1260">
        <f>'T3 ANSP'!D26+'T3 MET'!D26+'T3 NSA'!D26</f>
        <v>0</v>
      </c>
      <c r="E26" s="1261">
        <f>'T3 ANSP'!E26+'T3 MET'!E26+'T3 NSA'!E26</f>
        <v>0</v>
      </c>
      <c r="F26" s="1304">
        <f>'T3 ANSP'!F26+'T3 MET'!F26+'T3 NSA'!F26</f>
        <v>0</v>
      </c>
      <c r="G26" s="1263">
        <f>'T3 ANSP'!G26+'T3 MET'!G26+'T3 NSA'!G26</f>
        <v>0</v>
      </c>
      <c r="H26" s="1263">
        <f>'T3 ANSP'!H26+'T3 MET'!H26+'T3 NSA'!H26</f>
        <v>0</v>
      </c>
      <c r="I26" s="1264">
        <f>'T3 ANSP'!I26+'T3 MET'!I26+'T3 NSA'!I26</f>
        <v>0</v>
      </c>
      <c r="J26" s="1326">
        <f>'T3 ANSP'!J26+'T3 MET'!J26+'T3 NSA'!J26</f>
        <v>0</v>
      </c>
      <c r="L26" s="418"/>
    </row>
    <row r="27" spans="1:12" ht="12" customHeight="1">
      <c r="A27" s="425">
        <v>2024</v>
      </c>
      <c r="B27" s="425"/>
      <c r="C27" s="421" t="s">
        <v>245</v>
      </c>
      <c r="D27" s="1322">
        <f>'T3 ANSP'!D27+'T3 MET'!D27+'T3 NSA'!D27</f>
        <v>0</v>
      </c>
      <c r="E27" s="1307">
        <f>'T3 ANSP'!E27+'T3 MET'!E27+'T3 NSA'!E27</f>
        <v>0</v>
      </c>
      <c r="F27" s="1308">
        <f>'T3 ANSP'!F27+'T3 MET'!F27+'T3 NSA'!F27</f>
        <v>0</v>
      </c>
      <c r="G27" s="1308">
        <f>'T3 ANSP'!G27+'T3 MET'!G27+'T3 NSA'!G27</f>
        <v>0</v>
      </c>
      <c r="H27" s="1308">
        <f>'T3 ANSP'!H27+'T3 MET'!H27+'T3 NSA'!H27</f>
        <v>0</v>
      </c>
      <c r="I27" s="1382">
        <f>'T3 ANSP'!I27+'T3 MET'!I27+'T3 NSA'!I27</f>
        <v>0</v>
      </c>
      <c r="J27" s="1327">
        <f>'T3 ANSP'!J27+'T3 MET'!J27+'T3 NSA'!J27</f>
        <v>0</v>
      </c>
      <c r="L27" s="418"/>
    </row>
    <row r="28" spans="1:12" ht="12" customHeight="1">
      <c r="A28" s="425" t="s">
        <v>237</v>
      </c>
      <c r="B28" s="425"/>
      <c r="C28" s="422" t="s">
        <v>246</v>
      </c>
      <c r="D28" s="1280">
        <f>'T3 ANSP'!D28+'T3 MET'!D28+'T3 NSA'!D28</f>
        <v>66819.638238262196</v>
      </c>
      <c r="E28" s="1281">
        <f>'T3 ANSP'!E28+'T3 MET'!E28+'T3 NSA'!E28</f>
        <v>28019.899400500635</v>
      </c>
      <c r="F28" s="1282">
        <f>'T3 ANSP'!F28+'T3 MET'!F28+'T3 NSA'!F28</f>
        <v>38799.738837761564</v>
      </c>
      <c r="G28" s="1282">
        <f>'T3 ANSP'!G28+'T3 MET'!G28+'T3 NSA'!G28</f>
        <v>0</v>
      </c>
      <c r="H28" s="1282">
        <f>'T3 ANSP'!H28+'T3 MET'!H28+'T3 NSA'!H28</f>
        <v>0</v>
      </c>
      <c r="I28" s="1283">
        <f>'T3 ANSP'!I28+'T3 MET'!I28+'T3 NSA'!I28</f>
        <v>0</v>
      </c>
      <c r="J28" s="1280">
        <f>'T3 ANSP'!J28+'T3 MET'!J28+'T3 NSA'!J28</f>
        <v>0</v>
      </c>
      <c r="L28" s="418"/>
    </row>
    <row r="29" spans="1:12" ht="4.3499999999999996" customHeight="1">
      <c r="A29" s="540"/>
      <c r="B29" s="540"/>
      <c r="C29" s="1065"/>
      <c r="D29" s="1295"/>
      <c r="E29" s="1296"/>
      <c r="F29" s="1296"/>
      <c r="G29" s="1296"/>
      <c r="H29" s="1296"/>
      <c r="I29" s="1296"/>
      <c r="J29" s="1296"/>
      <c r="L29" s="418"/>
    </row>
    <row r="30" spans="1:12" ht="12" customHeight="1">
      <c r="A30" s="425" t="s">
        <v>500</v>
      </c>
      <c r="B30" s="425"/>
      <c r="C30" s="944"/>
      <c r="D30" s="1297"/>
      <c r="E30" s="1297"/>
      <c r="F30" s="1297"/>
      <c r="G30" s="1297"/>
      <c r="H30" s="1297"/>
      <c r="I30" s="1297"/>
      <c r="J30" s="1297"/>
      <c r="K30" s="425"/>
      <c r="L30" s="418"/>
    </row>
    <row r="31" spans="1:12" ht="12" customHeight="1">
      <c r="A31" s="425" t="s">
        <v>501</v>
      </c>
      <c r="B31" s="425"/>
      <c r="C31" s="419" t="s">
        <v>503</v>
      </c>
      <c r="D31" s="1260">
        <f>'T3 ANSP'!D31+'T3 MET'!D31+'T3 NSA'!D31</f>
        <v>0</v>
      </c>
      <c r="E31" s="1261">
        <f>'T3 ANSP'!E31+'T3 MET'!E31+'T3 NSA'!E31</f>
        <v>0</v>
      </c>
      <c r="F31" s="1304">
        <f>'T3 ANSP'!F31+'T3 MET'!F31+'T3 NSA'!F31</f>
        <v>0</v>
      </c>
      <c r="G31" s="1263">
        <f>'T3 ANSP'!G31+'T3 MET'!G31+'T3 NSA'!G31</f>
        <v>0</v>
      </c>
      <c r="H31" s="1314">
        <f>'T3 ANSP'!H31+'T3 MET'!H31+'T3 NSA'!H31</f>
        <v>0</v>
      </c>
      <c r="I31" s="1264">
        <f>'T3 ANSP'!I31+'T3 MET'!I31+'T3 NSA'!I31</f>
        <v>0</v>
      </c>
      <c r="J31" s="1260">
        <f>'T3 ANSP'!J31+'T3 MET'!J31+'T3 NSA'!J31</f>
        <v>0</v>
      </c>
      <c r="L31" s="418"/>
    </row>
    <row r="32" spans="1:12" ht="12" customHeight="1">
      <c r="A32" s="425">
        <v>2022</v>
      </c>
      <c r="B32" s="425"/>
      <c r="C32" s="423" t="s">
        <v>247</v>
      </c>
      <c r="D32" s="1260">
        <f>'T3 ANSP'!D32+'T3 MET'!D32+'T3 NSA'!D32</f>
        <v>0</v>
      </c>
      <c r="E32" s="1261">
        <f>'T3 ANSP'!E32+'T3 MET'!E32+'T3 NSA'!E32</f>
        <v>0</v>
      </c>
      <c r="F32" s="1304">
        <f>'T3 ANSP'!F32+'T3 MET'!F32+'T3 NSA'!F32</f>
        <v>0</v>
      </c>
      <c r="G32" s="1263">
        <f>'T3 ANSP'!G32+'T3 MET'!G32+'T3 NSA'!G32</f>
        <v>0</v>
      </c>
      <c r="H32" s="1263">
        <f>'T3 ANSP'!H32+'T3 MET'!H32+'T3 NSA'!H32</f>
        <v>0</v>
      </c>
      <c r="I32" s="1305">
        <f>'T3 ANSP'!I32+'T3 MET'!I32+'T3 NSA'!I32</f>
        <v>0</v>
      </c>
      <c r="J32" s="1260">
        <f>'T3 ANSP'!J32+'T3 MET'!J32+'T3 NSA'!J32</f>
        <v>0</v>
      </c>
      <c r="L32" s="418"/>
    </row>
    <row r="33" spans="1:12" ht="12" customHeight="1">
      <c r="A33" s="425">
        <v>2023</v>
      </c>
      <c r="B33" s="425"/>
      <c r="C33" s="423" t="s">
        <v>248</v>
      </c>
      <c r="D33" s="1260">
        <f>'T3 ANSP'!D33+'T3 MET'!D33+'T3 NSA'!D33</f>
        <v>0</v>
      </c>
      <c r="E33" s="1261">
        <f>'T3 ANSP'!E33+'T3 MET'!E33+'T3 NSA'!E33</f>
        <v>0</v>
      </c>
      <c r="F33" s="1304">
        <f>'T3 ANSP'!F33+'T3 MET'!F33+'T3 NSA'!F33</f>
        <v>0</v>
      </c>
      <c r="G33" s="1263">
        <f>'T3 ANSP'!G33+'T3 MET'!G33+'T3 NSA'!G33</f>
        <v>0</v>
      </c>
      <c r="H33" s="1263">
        <f>'T3 ANSP'!H33+'T3 MET'!H33+'T3 NSA'!H33</f>
        <v>0</v>
      </c>
      <c r="I33" s="1264">
        <f>'T3 ANSP'!I33+'T3 MET'!I33+'T3 NSA'!I33</f>
        <v>0</v>
      </c>
      <c r="J33" s="1260">
        <f>'T3 ANSP'!J33+'T3 MET'!J33+'T3 NSA'!J33</f>
        <v>0</v>
      </c>
      <c r="L33" s="418"/>
    </row>
    <row r="34" spans="1:12" ht="12" customHeight="1">
      <c r="A34" s="425">
        <v>2024</v>
      </c>
      <c r="B34" s="425"/>
      <c r="C34" s="424" t="s">
        <v>249</v>
      </c>
      <c r="D34" s="1322">
        <f>'T3 ANSP'!D34+'T3 MET'!D34+'T3 NSA'!D34</f>
        <v>0</v>
      </c>
      <c r="E34" s="1307">
        <f>'T3 ANSP'!E34+'T3 MET'!E34+'T3 NSA'!E34</f>
        <v>0</v>
      </c>
      <c r="F34" s="1308">
        <f>'T3 ANSP'!F34+'T3 MET'!F34+'T3 NSA'!F34</f>
        <v>0</v>
      </c>
      <c r="G34" s="1308">
        <f>'T3 ANSP'!G34+'T3 MET'!G34+'T3 NSA'!G34</f>
        <v>0</v>
      </c>
      <c r="H34" s="1308">
        <f>'T3 ANSP'!H34+'T3 MET'!H34+'T3 NSA'!H34</f>
        <v>0</v>
      </c>
      <c r="I34" s="1382">
        <f>'T3 ANSP'!I34+'T3 MET'!I34+'T3 NSA'!I34</f>
        <v>0</v>
      </c>
      <c r="J34" s="1322">
        <f>'T3 ANSP'!J34+'T3 MET'!J34+'T3 NSA'!J34</f>
        <v>0</v>
      </c>
      <c r="L34" s="418"/>
    </row>
    <row r="35" spans="1:12" ht="12" customHeight="1">
      <c r="A35" s="425" t="s">
        <v>237</v>
      </c>
      <c r="B35" s="425"/>
      <c r="C35" s="422" t="s">
        <v>250</v>
      </c>
      <c r="D35" s="1280">
        <f>'T3 ANSP'!D35+'T3 MET'!D35+'T3 NSA'!D35</f>
        <v>0</v>
      </c>
      <c r="E35" s="1291">
        <f>'T3 ANSP'!E35+'T3 MET'!E35+'T3 NSA'!E35</f>
        <v>0</v>
      </c>
      <c r="F35" s="1292">
        <f>'T3 ANSP'!F35+'T3 MET'!F35+'T3 NSA'!F35</f>
        <v>0</v>
      </c>
      <c r="G35" s="1292">
        <f>'T3 ANSP'!G35+'T3 MET'!G35+'T3 NSA'!G35</f>
        <v>0</v>
      </c>
      <c r="H35" s="1282">
        <f>'T3 ANSP'!H35+'T3 MET'!H35+'T3 NSA'!H35</f>
        <v>0</v>
      </c>
      <c r="I35" s="1283">
        <f>'T3 ANSP'!I35+'T3 MET'!I35+'T3 NSA'!I35</f>
        <v>0</v>
      </c>
      <c r="J35" s="1280">
        <f>'T3 ANSP'!J35+'T3 MET'!J35+'T3 NSA'!J35</f>
        <v>0</v>
      </c>
      <c r="L35" s="418"/>
    </row>
    <row r="36" spans="1:12" ht="4.3499999999999996" customHeight="1">
      <c r="A36" s="540"/>
      <c r="B36" s="540"/>
      <c r="C36" s="1065"/>
      <c r="D36" s="1295"/>
      <c r="E36" s="1296"/>
      <c r="F36" s="1296"/>
      <c r="G36" s="1296"/>
      <c r="H36" s="1296"/>
      <c r="I36" s="1296"/>
      <c r="J36" s="1296"/>
      <c r="L36" s="418"/>
    </row>
    <row r="37" spans="1:12" ht="12" customHeight="1">
      <c r="A37" s="425" t="s">
        <v>500</v>
      </c>
      <c r="B37" s="425"/>
      <c r="C37" s="944"/>
      <c r="D37" s="1297"/>
      <c r="E37" s="1297"/>
      <c r="F37" s="1297"/>
      <c r="G37" s="1297"/>
      <c r="H37" s="1297"/>
      <c r="I37" s="1297"/>
      <c r="J37" s="1297"/>
      <c r="K37" s="425"/>
      <c r="L37" s="418"/>
    </row>
    <row r="38" spans="1:12" ht="12" customHeight="1">
      <c r="A38" s="425" t="s">
        <v>501</v>
      </c>
      <c r="B38" s="425"/>
      <c r="C38" s="419" t="s">
        <v>504</v>
      </c>
      <c r="D38" s="1260">
        <f>'T3 ANSP'!D38+'T3 MET'!D38+'T3 NSA'!D38</f>
        <v>0</v>
      </c>
      <c r="E38" s="1261">
        <f>'T3 ANSP'!E38+'T3 MET'!E38+'T3 NSA'!E38</f>
        <v>0</v>
      </c>
      <c r="F38" s="1304">
        <f>'T3 ANSP'!F38+'T3 MET'!F38+'T3 NSA'!F38</f>
        <v>0</v>
      </c>
      <c r="G38" s="1263">
        <f>'T3 ANSP'!G38+'T3 MET'!G38+'T3 NSA'!G38</f>
        <v>0</v>
      </c>
      <c r="H38" s="1314">
        <f>'T3 ANSP'!H38+'T3 MET'!H38+'T3 NSA'!H38</f>
        <v>0</v>
      </c>
      <c r="I38" s="1264">
        <f>'T3 ANSP'!I38+'T3 MET'!I38+'T3 NSA'!I38</f>
        <v>0</v>
      </c>
      <c r="J38" s="1265">
        <f>'T3 ANSP'!J38+'T3 MET'!J38+'T3 NSA'!J38</f>
        <v>0</v>
      </c>
      <c r="L38" s="418"/>
    </row>
    <row r="39" spans="1:12" ht="12" customHeight="1">
      <c r="A39" s="425">
        <v>2022</v>
      </c>
      <c r="B39" s="425"/>
      <c r="C39" s="423" t="s">
        <v>251</v>
      </c>
      <c r="D39" s="1260">
        <f>'T3 ANSP'!D39+'T3 MET'!D39+'T3 NSA'!D39</f>
        <v>0</v>
      </c>
      <c r="E39" s="1261">
        <f>'T3 ANSP'!E39+'T3 MET'!E39+'T3 NSA'!E39</f>
        <v>0</v>
      </c>
      <c r="F39" s="1304">
        <f>'T3 ANSP'!F39+'T3 MET'!F39+'T3 NSA'!F39</f>
        <v>0</v>
      </c>
      <c r="G39" s="1263">
        <f>'T3 ANSP'!G39+'T3 MET'!G39+'T3 NSA'!G39</f>
        <v>0</v>
      </c>
      <c r="H39" s="1263">
        <f>'T3 ANSP'!H39+'T3 MET'!H39+'T3 NSA'!H39</f>
        <v>0</v>
      </c>
      <c r="I39" s="1305">
        <f>'T3 ANSP'!I39+'T3 MET'!I39+'T3 NSA'!I39</f>
        <v>0</v>
      </c>
      <c r="J39" s="1265">
        <f>'T3 ANSP'!J39+'T3 MET'!J39+'T3 NSA'!J39</f>
        <v>0</v>
      </c>
      <c r="L39" s="418"/>
    </row>
    <row r="40" spans="1:12" ht="12" customHeight="1">
      <c r="A40" s="425">
        <v>2023</v>
      </c>
      <c r="B40" s="425"/>
      <c r="C40" s="423" t="s">
        <v>252</v>
      </c>
      <c r="D40" s="1260">
        <f>'T3 ANSP'!D40+'T3 MET'!D40+'T3 NSA'!D40</f>
        <v>0</v>
      </c>
      <c r="E40" s="1261">
        <f>'T3 ANSP'!E40+'T3 MET'!E40+'T3 NSA'!E40</f>
        <v>0</v>
      </c>
      <c r="F40" s="1304">
        <f>'T3 ANSP'!F40+'T3 MET'!F40+'T3 NSA'!F40</f>
        <v>0</v>
      </c>
      <c r="G40" s="1263">
        <f>'T3 ANSP'!G40+'T3 MET'!G40+'T3 NSA'!G40</f>
        <v>0</v>
      </c>
      <c r="H40" s="1263">
        <f>'T3 ANSP'!H40+'T3 MET'!H40+'T3 NSA'!H40</f>
        <v>0</v>
      </c>
      <c r="I40" s="1264">
        <f>'T3 ANSP'!I40+'T3 MET'!I40+'T3 NSA'!I40</f>
        <v>0</v>
      </c>
      <c r="J40" s="1260">
        <f>'T3 ANSP'!J40+'T3 MET'!J40+'T3 NSA'!J40</f>
        <v>0</v>
      </c>
      <c r="L40" s="418"/>
    </row>
    <row r="41" spans="1:12" ht="12" customHeight="1">
      <c r="A41" s="425">
        <v>2024</v>
      </c>
      <c r="B41" s="425"/>
      <c r="C41" s="424" t="s">
        <v>253</v>
      </c>
      <c r="D41" s="1260">
        <f>'T3 ANSP'!D41+'T3 MET'!D41+'T3 NSA'!D41</f>
        <v>0</v>
      </c>
      <c r="E41" s="1307">
        <f>'T3 ANSP'!E41+'T3 MET'!E41+'T3 NSA'!E41</f>
        <v>0</v>
      </c>
      <c r="F41" s="1308">
        <f>'T3 ANSP'!F41+'T3 MET'!F41+'T3 NSA'!F41</f>
        <v>0</v>
      </c>
      <c r="G41" s="1308">
        <f>'T3 ANSP'!G41+'T3 MET'!G41+'T3 NSA'!G41</f>
        <v>0</v>
      </c>
      <c r="H41" s="1308">
        <f>'T3 ANSP'!H41+'T3 MET'!H41+'T3 NSA'!H41</f>
        <v>0</v>
      </c>
      <c r="I41" s="1382">
        <f>'T3 ANSP'!I41+'T3 MET'!I41+'T3 NSA'!I41</f>
        <v>0</v>
      </c>
      <c r="J41" s="1322">
        <f>'T3 ANSP'!J41+'T3 MET'!J41+'T3 NSA'!J41</f>
        <v>0</v>
      </c>
      <c r="L41" s="418"/>
    </row>
    <row r="42" spans="1:12" ht="12" customHeight="1">
      <c r="A42" s="425" t="s">
        <v>237</v>
      </c>
      <c r="B42" s="425"/>
      <c r="C42" s="422" t="s">
        <v>254</v>
      </c>
      <c r="D42" s="1280">
        <f>'T3 ANSP'!D42+'T3 MET'!D42+'T3 NSA'!D42</f>
        <v>0</v>
      </c>
      <c r="E42" s="1291">
        <f>'T3 ANSP'!E42+'T3 MET'!E42+'T3 NSA'!E42</f>
        <v>0</v>
      </c>
      <c r="F42" s="1292">
        <f>'T3 ANSP'!F42+'T3 MET'!F42+'T3 NSA'!F42</f>
        <v>0</v>
      </c>
      <c r="G42" s="1292">
        <f>'T3 ANSP'!G42+'T3 MET'!G42+'T3 NSA'!G42</f>
        <v>0</v>
      </c>
      <c r="H42" s="1282">
        <f>'T3 ANSP'!H42+'T3 MET'!H42+'T3 NSA'!H42</f>
        <v>0</v>
      </c>
      <c r="I42" s="1283">
        <f>'T3 ANSP'!I42+'T3 MET'!I42+'T3 NSA'!I42</f>
        <v>0</v>
      </c>
      <c r="J42" s="1280">
        <f>'T3 ANSP'!J42+'T3 MET'!J42+'T3 NSA'!J42</f>
        <v>0</v>
      </c>
      <c r="L42" s="418"/>
    </row>
    <row r="43" spans="1:12" ht="4.3499999999999996" customHeight="1">
      <c r="A43" s="540"/>
      <c r="B43" s="540"/>
      <c r="C43" s="427"/>
      <c r="D43" s="1310"/>
      <c r="E43" s="1311"/>
      <c r="F43" s="1311"/>
      <c r="G43" s="1311"/>
      <c r="H43" s="1311"/>
      <c r="I43" s="1311"/>
      <c r="J43" s="1311"/>
      <c r="L43" s="418"/>
    </row>
    <row r="44" spans="1:12" ht="12" customHeight="1">
      <c r="A44" s="425" t="s">
        <v>500</v>
      </c>
      <c r="B44" s="425"/>
      <c r="C44" s="944"/>
      <c r="D44" s="1297"/>
      <c r="E44" s="1297"/>
      <c r="F44" s="1297"/>
      <c r="G44" s="1297"/>
      <c r="H44" s="1297"/>
      <c r="I44" s="1297"/>
      <c r="J44" s="1297"/>
      <c r="K44" s="425"/>
      <c r="L44" s="418"/>
    </row>
    <row r="45" spans="1:12" ht="12" customHeight="1">
      <c r="A45" s="425" t="s">
        <v>501</v>
      </c>
      <c r="B45" s="425"/>
      <c r="C45" s="417" t="s">
        <v>505</v>
      </c>
      <c r="D45" s="1259">
        <f>'T3 ANSP'!D45+'T3 MET'!D45+'T3 NSA'!D45</f>
        <v>0</v>
      </c>
      <c r="E45" s="1287">
        <f>'T3 ANSP'!E45+'T3 MET'!E45+'T3 NSA'!E45</f>
        <v>0</v>
      </c>
      <c r="F45" s="1257">
        <f>'T3 ANSP'!F45+'T3 MET'!F45+'T3 NSA'!F45</f>
        <v>0</v>
      </c>
      <c r="G45" s="1257">
        <f>'T3 ANSP'!G45+'T3 MET'!G45+'T3 NSA'!G45</f>
        <v>0</v>
      </c>
      <c r="H45" s="1257">
        <f>'T3 ANSP'!H45+'T3 MET'!H45+'T3 NSA'!H45</f>
        <v>0</v>
      </c>
      <c r="I45" s="1288">
        <f>'T3 ANSP'!I45+'T3 MET'!I45+'T3 NSA'!I45</f>
        <v>0</v>
      </c>
      <c r="J45" s="1259">
        <f>'T3 ANSP'!J45+'T3 MET'!J45+'T3 NSA'!J45</f>
        <v>0</v>
      </c>
      <c r="L45" s="418"/>
    </row>
    <row r="46" spans="1:12" ht="12" customHeight="1">
      <c r="A46" s="425">
        <v>2022</v>
      </c>
      <c r="B46" s="425"/>
      <c r="C46" s="423" t="s">
        <v>255</v>
      </c>
      <c r="D46" s="1298">
        <f>'T3 ANSP'!D46+'T3 MET'!D46+'T3 NSA'!D46</f>
        <v>0</v>
      </c>
      <c r="E46" s="1273">
        <f>'T3 ANSP'!E46+'T3 MET'!E46+'T3 NSA'!E46</f>
        <v>0</v>
      </c>
      <c r="F46" s="1263">
        <f>'T3 ANSP'!F46+'T3 MET'!F46+'T3 NSA'!F46</f>
        <v>0</v>
      </c>
      <c r="G46" s="1263">
        <f>'T3 ANSP'!G46+'T3 MET'!G46+'T3 NSA'!G46</f>
        <v>0</v>
      </c>
      <c r="H46" s="1263">
        <f>'T3 ANSP'!H46+'T3 MET'!H46+'T3 NSA'!H46</f>
        <v>0</v>
      </c>
      <c r="I46" s="1264">
        <f>'T3 ANSP'!I46+'T3 MET'!I46+'T3 NSA'!I46</f>
        <v>0</v>
      </c>
      <c r="J46" s="1265">
        <f>'T3 ANSP'!J46+'T3 MET'!J46+'T3 NSA'!J46</f>
        <v>0</v>
      </c>
      <c r="L46" s="418"/>
    </row>
    <row r="47" spans="1:12" ht="12" customHeight="1">
      <c r="A47" s="425">
        <v>2023</v>
      </c>
      <c r="B47" s="425"/>
      <c r="C47" s="423" t="s">
        <v>256</v>
      </c>
      <c r="D47" s="1298">
        <f>'T3 ANSP'!D47+'T3 MET'!D47+'T3 NSA'!D47</f>
        <v>0</v>
      </c>
      <c r="E47" s="1273">
        <f>'T3 ANSP'!E47+'T3 MET'!E47+'T3 NSA'!E47</f>
        <v>0</v>
      </c>
      <c r="F47" s="1263">
        <f>'T3 ANSP'!F47+'T3 MET'!F47+'T3 NSA'!F47</f>
        <v>0</v>
      </c>
      <c r="G47" s="1263">
        <f>'T3 ANSP'!G47+'T3 MET'!G47+'T3 NSA'!G47</f>
        <v>0</v>
      </c>
      <c r="H47" s="1263">
        <f>'T3 ANSP'!H47+'T3 MET'!H47+'T3 NSA'!H47</f>
        <v>0</v>
      </c>
      <c r="I47" s="1264">
        <f>'T3 ANSP'!I47+'T3 MET'!I47+'T3 NSA'!I47</f>
        <v>0</v>
      </c>
      <c r="J47" s="1265">
        <f>'T3 ANSP'!J47+'T3 MET'!J47+'T3 NSA'!J47</f>
        <v>0</v>
      </c>
      <c r="L47" s="418"/>
    </row>
    <row r="48" spans="1:12" ht="12" customHeight="1">
      <c r="A48" s="425">
        <v>2024</v>
      </c>
      <c r="B48" s="425"/>
      <c r="C48" s="942" t="s">
        <v>257</v>
      </c>
      <c r="D48" s="1383">
        <f>'T3 ANSP'!D48+'T3 MET'!D48+'T3 NSA'!D48</f>
        <v>0</v>
      </c>
      <c r="E48" s="1276">
        <f>'T3 ANSP'!E48+'T3 MET'!E48+'T3 NSA'!E48</f>
        <v>0</v>
      </c>
      <c r="F48" s="1277">
        <f>'T3 ANSP'!F48+'T3 MET'!F48+'T3 NSA'!F48</f>
        <v>0</v>
      </c>
      <c r="G48" s="1277">
        <f>'T3 ANSP'!G48+'T3 MET'!G48+'T3 NSA'!G48</f>
        <v>0</v>
      </c>
      <c r="H48" s="1277">
        <f>'T3 ANSP'!H48+'T3 MET'!H48+'T3 NSA'!H48</f>
        <v>0</v>
      </c>
      <c r="I48" s="1351">
        <f>'T3 ANSP'!I48+'T3 MET'!I48+'T3 NSA'!I48</f>
        <v>0</v>
      </c>
      <c r="J48" s="1275">
        <f>'T3 ANSP'!J48+'T3 MET'!J48+'T3 NSA'!J48</f>
        <v>0</v>
      </c>
      <c r="L48" s="418"/>
    </row>
    <row r="49" spans="1:12" ht="12" customHeight="1">
      <c r="A49" s="425" t="s">
        <v>237</v>
      </c>
      <c r="B49" s="425"/>
      <c r="C49" s="422" t="s">
        <v>258</v>
      </c>
      <c r="D49" s="1294">
        <f>'T3 ANSP'!D49+'T3 MET'!D49+'T3 NSA'!D49</f>
        <v>0</v>
      </c>
      <c r="E49" s="1291">
        <f>'T3 ANSP'!E49+'T3 MET'!E49+'T3 NSA'!E49</f>
        <v>0</v>
      </c>
      <c r="F49" s="1292">
        <f>'T3 ANSP'!F49+'T3 MET'!F49+'T3 NSA'!F49</f>
        <v>0</v>
      </c>
      <c r="G49" s="1292">
        <f>'T3 ANSP'!G49+'T3 MET'!G49+'T3 NSA'!G49</f>
        <v>0</v>
      </c>
      <c r="H49" s="1292">
        <f>'T3 ANSP'!H49+'T3 MET'!H49+'T3 NSA'!H49</f>
        <v>0</v>
      </c>
      <c r="I49" s="1293">
        <f>'T3 ANSP'!I49+'T3 MET'!I49+'T3 NSA'!I49</f>
        <v>0</v>
      </c>
      <c r="J49" s="1294">
        <f>'T3 ANSP'!J49+'T3 MET'!J49+'T3 NSA'!J49</f>
        <v>0</v>
      </c>
      <c r="L49" s="418"/>
    </row>
    <row r="50" spans="1:12" ht="4.3499999999999996" customHeight="1">
      <c r="A50" s="540"/>
      <c r="B50" s="540"/>
      <c r="C50" s="427"/>
      <c r="D50" s="1310"/>
      <c r="E50" s="1311"/>
      <c r="F50" s="1311"/>
      <c r="G50" s="1311"/>
      <c r="H50" s="1311"/>
      <c r="I50" s="1311"/>
      <c r="J50" s="1311"/>
      <c r="L50" s="418"/>
    </row>
    <row r="51" spans="1:12" ht="12" customHeight="1">
      <c r="A51" s="425" t="s">
        <v>500</v>
      </c>
      <c r="B51" s="425"/>
      <c r="C51" s="944"/>
      <c r="D51" s="1297"/>
      <c r="E51" s="1297"/>
      <c r="F51" s="1297"/>
      <c r="G51" s="1297"/>
      <c r="H51" s="1297"/>
      <c r="I51" s="1297"/>
      <c r="J51" s="1297"/>
      <c r="K51" s="425"/>
      <c r="L51" s="418"/>
    </row>
    <row r="52" spans="1:12" ht="12" customHeight="1">
      <c r="A52" s="425" t="s">
        <v>501</v>
      </c>
      <c r="B52" s="425"/>
      <c r="C52" s="417" t="s">
        <v>506</v>
      </c>
      <c r="D52" s="1254">
        <f>'T3 ANSP'!D52+'T3 MET'!D52+'T3 NSA'!D52</f>
        <v>0</v>
      </c>
      <c r="E52" s="1302">
        <f>'T3 ANSP'!E52+'T3 MET'!E52+'T3 NSA'!E52</f>
        <v>0</v>
      </c>
      <c r="F52" s="1256">
        <f>'T3 ANSP'!F52+'T3 MET'!F52+'T3 NSA'!F52</f>
        <v>0</v>
      </c>
      <c r="G52" s="1257">
        <f>'T3 ANSP'!G52+'T3 MET'!G52+'T3 NSA'!G52</f>
        <v>0</v>
      </c>
      <c r="H52" s="1303">
        <f>'T3 ANSP'!H52+'T3 MET'!H52+'T3 NSA'!H52</f>
        <v>0</v>
      </c>
      <c r="I52" s="1288">
        <f>'T3 ANSP'!I52+'T3 MET'!I52+'T3 NSA'!I52</f>
        <v>0</v>
      </c>
      <c r="J52" s="1254">
        <f>'T3 ANSP'!J52+'T3 MET'!J52+'T3 NSA'!J52</f>
        <v>0</v>
      </c>
      <c r="L52" s="418"/>
    </row>
    <row r="53" spans="1:12" ht="12" customHeight="1">
      <c r="A53" s="425">
        <v>2022</v>
      </c>
      <c r="B53" s="425"/>
      <c r="C53" s="423" t="s">
        <v>259</v>
      </c>
      <c r="D53" s="1260">
        <f>'T3 ANSP'!D53+'T3 MET'!D53+'T3 NSA'!D53</f>
        <v>0</v>
      </c>
      <c r="E53" s="1261">
        <f>'T3 ANSP'!E53+'T3 MET'!E53+'T3 NSA'!E53</f>
        <v>0</v>
      </c>
      <c r="F53" s="1304">
        <f>'T3 ANSP'!F53+'T3 MET'!F53+'T3 NSA'!F53</f>
        <v>0</v>
      </c>
      <c r="G53" s="1263">
        <f>'T3 ANSP'!G53+'T3 MET'!G53+'T3 NSA'!G53</f>
        <v>0</v>
      </c>
      <c r="H53" s="1263">
        <f>'T3 ANSP'!H53+'T3 MET'!H53+'T3 NSA'!H53</f>
        <v>0</v>
      </c>
      <c r="I53" s="1305">
        <f>'T3 ANSP'!I53+'T3 MET'!I53+'T3 NSA'!I53</f>
        <v>0</v>
      </c>
      <c r="J53" s="1260">
        <f>'T3 ANSP'!J53+'T3 MET'!J53+'T3 NSA'!J53</f>
        <v>0</v>
      </c>
      <c r="L53" s="418"/>
    </row>
    <row r="54" spans="1:12" ht="12" customHeight="1">
      <c r="A54" s="425">
        <v>2023</v>
      </c>
      <c r="B54" s="425"/>
      <c r="C54" s="423" t="s">
        <v>260</v>
      </c>
      <c r="D54" s="1260">
        <f>'T3 ANSP'!D54+'T3 MET'!D54+'T3 NSA'!D54</f>
        <v>0</v>
      </c>
      <c r="E54" s="1261">
        <f>'T3 ANSP'!E54+'T3 MET'!E54+'T3 NSA'!E54</f>
        <v>0</v>
      </c>
      <c r="F54" s="1304">
        <f>'T3 ANSP'!F54+'T3 MET'!F54+'T3 NSA'!F54</f>
        <v>0</v>
      </c>
      <c r="G54" s="1263">
        <f>'T3 ANSP'!G54+'T3 MET'!G54+'T3 NSA'!G54</f>
        <v>0</v>
      </c>
      <c r="H54" s="1263">
        <f>'T3 ANSP'!H54+'T3 MET'!H54+'T3 NSA'!H54</f>
        <v>0</v>
      </c>
      <c r="I54" s="1264">
        <f>'T3 ANSP'!I54+'T3 MET'!I54+'T3 NSA'!I54</f>
        <v>0</v>
      </c>
      <c r="J54" s="1260">
        <f>'T3 ANSP'!J54+'T3 MET'!J54+'T3 NSA'!J54</f>
        <v>0</v>
      </c>
      <c r="L54" s="418"/>
    </row>
    <row r="55" spans="1:12" ht="12" customHeight="1">
      <c r="A55" s="425">
        <v>2024</v>
      </c>
      <c r="B55" s="425"/>
      <c r="C55" s="942" t="s">
        <v>261</v>
      </c>
      <c r="D55" s="1306">
        <f>'T3 ANSP'!D55+'T3 MET'!D55+'T3 NSA'!D55</f>
        <v>0</v>
      </c>
      <c r="E55" s="1307">
        <f>'T3 ANSP'!E55+'T3 MET'!E55+'T3 NSA'!E55</f>
        <v>0</v>
      </c>
      <c r="F55" s="1308">
        <f>'T3 ANSP'!F55+'T3 MET'!F55+'T3 NSA'!F55</f>
        <v>0</v>
      </c>
      <c r="G55" s="1308">
        <f>'T3 ANSP'!G55+'T3 MET'!G55+'T3 NSA'!G55</f>
        <v>0</v>
      </c>
      <c r="H55" s="1308">
        <f>'T3 ANSP'!H55+'T3 MET'!H55+'T3 NSA'!H55</f>
        <v>0</v>
      </c>
      <c r="I55" s="1382">
        <f>'T3 ANSP'!I55+'T3 MET'!I55+'T3 NSA'!I55</f>
        <v>0</v>
      </c>
      <c r="J55" s="1306">
        <f>'T3 ANSP'!J55+'T3 MET'!J55+'T3 NSA'!J55</f>
        <v>0</v>
      </c>
      <c r="L55" s="418"/>
    </row>
    <row r="56" spans="1:12" ht="12" customHeight="1">
      <c r="A56" s="425" t="s">
        <v>237</v>
      </c>
      <c r="B56" s="425"/>
      <c r="C56" s="422" t="s">
        <v>262</v>
      </c>
      <c r="D56" s="1280">
        <f>'T3 ANSP'!D56+'T3 MET'!D56+'T3 NSA'!D56</f>
        <v>0</v>
      </c>
      <c r="E56" s="1291">
        <f>'T3 ANSP'!E56+'T3 MET'!E56+'T3 NSA'!E56</f>
        <v>0</v>
      </c>
      <c r="F56" s="1292">
        <f>'T3 ANSP'!F56+'T3 MET'!F56+'T3 NSA'!F56</f>
        <v>0</v>
      </c>
      <c r="G56" s="1292">
        <f>'T3 ANSP'!G56+'T3 MET'!G56+'T3 NSA'!G56</f>
        <v>0</v>
      </c>
      <c r="H56" s="1282">
        <f>'T3 ANSP'!H56+'T3 MET'!H56+'T3 NSA'!H56</f>
        <v>0</v>
      </c>
      <c r="I56" s="1283">
        <f>'T3 ANSP'!I56+'T3 MET'!I56+'T3 NSA'!I56</f>
        <v>0</v>
      </c>
      <c r="J56" s="1280">
        <f>'T3 ANSP'!J56+'T3 MET'!J56+'T3 NSA'!J56</f>
        <v>0</v>
      </c>
      <c r="L56" s="418"/>
    </row>
    <row r="57" spans="1:12" ht="4.3499999999999996" customHeight="1">
      <c r="A57" s="540"/>
      <c r="B57" s="540"/>
      <c r="C57" s="427"/>
      <c r="D57" s="1310"/>
      <c r="E57" s="1311"/>
      <c r="F57" s="1311"/>
      <c r="G57" s="1311"/>
      <c r="H57" s="1311"/>
      <c r="I57" s="1311"/>
      <c r="J57" s="1311"/>
      <c r="L57" s="418"/>
    </row>
    <row r="58" spans="1:12" ht="12" customHeight="1">
      <c r="A58" s="425" t="s">
        <v>500</v>
      </c>
      <c r="B58" s="425"/>
      <c r="C58" s="944"/>
      <c r="D58" s="1297"/>
      <c r="E58" s="1297"/>
      <c r="F58" s="1297"/>
      <c r="G58" s="1297"/>
      <c r="H58" s="1297"/>
      <c r="I58" s="1297"/>
      <c r="J58" s="1297"/>
      <c r="K58" s="425"/>
      <c r="L58" s="418"/>
    </row>
    <row r="59" spans="1:12" ht="12" customHeight="1">
      <c r="A59" s="425" t="s">
        <v>501</v>
      </c>
      <c r="B59" s="425"/>
      <c r="C59" s="417" t="s">
        <v>507</v>
      </c>
      <c r="D59" s="1254">
        <f>'T3 ANSP'!D59+'T3 MET'!D59+'T3 NSA'!D59</f>
        <v>0</v>
      </c>
      <c r="E59" s="1302">
        <f>'T3 ANSP'!E59+'T3 MET'!E59+'T3 NSA'!E59</f>
        <v>0</v>
      </c>
      <c r="F59" s="1256">
        <f>'T3 ANSP'!F59+'T3 MET'!F59+'T3 NSA'!F59</f>
        <v>0</v>
      </c>
      <c r="G59" s="1257">
        <f>'T3 ANSP'!G59+'T3 MET'!G59+'T3 NSA'!G59</f>
        <v>0</v>
      </c>
      <c r="H59" s="1303">
        <f>'T3 ANSP'!H59+'T3 MET'!H59+'T3 NSA'!H59</f>
        <v>0</v>
      </c>
      <c r="I59" s="1288">
        <f>'T3 ANSP'!I59+'T3 MET'!I59+'T3 NSA'!I59</f>
        <v>0</v>
      </c>
      <c r="J59" s="1254">
        <f>'T3 ANSP'!J59+'T3 MET'!J59+'T3 NSA'!J59</f>
        <v>0</v>
      </c>
      <c r="L59" s="418"/>
    </row>
    <row r="60" spans="1:12" ht="12" customHeight="1">
      <c r="A60" s="425">
        <v>2022</v>
      </c>
      <c r="B60" s="425"/>
      <c r="C60" s="423" t="s">
        <v>263</v>
      </c>
      <c r="D60" s="1260">
        <f>'T3 ANSP'!D60+'T3 MET'!D60+'T3 NSA'!D60</f>
        <v>0</v>
      </c>
      <c r="E60" s="1261">
        <f>'T3 ANSP'!E60+'T3 MET'!E60+'T3 NSA'!E60</f>
        <v>0</v>
      </c>
      <c r="F60" s="1304">
        <f>'T3 ANSP'!F60+'T3 MET'!F60+'T3 NSA'!F60</f>
        <v>0</v>
      </c>
      <c r="G60" s="1263">
        <f>'T3 ANSP'!G60+'T3 MET'!G60+'T3 NSA'!G60</f>
        <v>0</v>
      </c>
      <c r="H60" s="1263">
        <f>'T3 ANSP'!H60+'T3 MET'!H60+'T3 NSA'!H60</f>
        <v>0</v>
      </c>
      <c r="I60" s="1305">
        <f>'T3 ANSP'!I60+'T3 MET'!I60+'T3 NSA'!I60</f>
        <v>0</v>
      </c>
      <c r="J60" s="1260">
        <f>'T3 ANSP'!J60+'T3 MET'!J60+'T3 NSA'!J60</f>
        <v>0</v>
      </c>
      <c r="L60" s="418"/>
    </row>
    <row r="61" spans="1:12" ht="12" customHeight="1">
      <c r="A61" s="425">
        <v>2023</v>
      </c>
      <c r="B61" s="425"/>
      <c r="C61" s="423" t="s">
        <v>264</v>
      </c>
      <c r="D61" s="1260">
        <f>'T3 ANSP'!D61+'T3 MET'!D61+'T3 NSA'!D61</f>
        <v>0</v>
      </c>
      <c r="E61" s="1261">
        <f>'T3 ANSP'!E61+'T3 MET'!E61+'T3 NSA'!E61</f>
        <v>0</v>
      </c>
      <c r="F61" s="1304">
        <f>'T3 ANSP'!F61+'T3 MET'!F61+'T3 NSA'!F61</f>
        <v>0</v>
      </c>
      <c r="G61" s="1263">
        <f>'T3 ANSP'!G61+'T3 MET'!G61+'T3 NSA'!G61</f>
        <v>0</v>
      </c>
      <c r="H61" s="1263">
        <f>'T3 ANSP'!H61+'T3 MET'!H61+'T3 NSA'!H61</f>
        <v>0</v>
      </c>
      <c r="I61" s="1264">
        <f>'T3 ANSP'!I61+'T3 MET'!I61+'T3 NSA'!I61</f>
        <v>0</v>
      </c>
      <c r="J61" s="1260">
        <f>'T3 ANSP'!J61+'T3 MET'!J61+'T3 NSA'!J61</f>
        <v>0</v>
      </c>
      <c r="L61" s="418"/>
    </row>
    <row r="62" spans="1:12" ht="12" customHeight="1">
      <c r="A62" s="425">
        <v>2024</v>
      </c>
      <c r="B62" s="425"/>
      <c r="C62" s="942" t="s">
        <v>265</v>
      </c>
      <c r="D62" s="1306">
        <f>'T3 ANSP'!D62+'T3 MET'!D62+'T3 NSA'!D62</f>
        <v>0</v>
      </c>
      <c r="E62" s="1307">
        <f>'T3 ANSP'!E62+'T3 MET'!E62+'T3 NSA'!E62</f>
        <v>0</v>
      </c>
      <c r="F62" s="1308">
        <f>'T3 ANSP'!F62+'T3 MET'!F62+'T3 NSA'!F62</f>
        <v>0</v>
      </c>
      <c r="G62" s="1308">
        <f>'T3 ANSP'!G62+'T3 MET'!G62+'T3 NSA'!G62</f>
        <v>0</v>
      </c>
      <c r="H62" s="1308">
        <f>'T3 ANSP'!H62+'T3 MET'!H62+'T3 NSA'!H62</f>
        <v>0</v>
      </c>
      <c r="I62" s="1382">
        <f>'T3 ANSP'!I62+'T3 MET'!I62+'T3 NSA'!I62</f>
        <v>0</v>
      </c>
      <c r="J62" s="1306">
        <f>'T3 ANSP'!J62+'T3 MET'!J62+'T3 NSA'!J62</f>
        <v>0</v>
      </c>
      <c r="L62" s="418"/>
    </row>
    <row r="63" spans="1:12" ht="12" customHeight="1">
      <c r="A63" s="425" t="s">
        <v>237</v>
      </c>
      <c r="B63" s="425"/>
      <c r="C63" s="422" t="s">
        <v>266</v>
      </c>
      <c r="D63" s="1280">
        <f>'T3 ANSP'!D63+'T3 MET'!D63+'T3 NSA'!D63</f>
        <v>0</v>
      </c>
      <c r="E63" s="1291">
        <f>'T3 ANSP'!E63+'T3 MET'!E63+'T3 NSA'!E63</f>
        <v>0</v>
      </c>
      <c r="F63" s="1292">
        <f>'T3 ANSP'!F63+'T3 MET'!F63+'T3 NSA'!F63</f>
        <v>0</v>
      </c>
      <c r="G63" s="1292">
        <f>'T3 ANSP'!G63+'T3 MET'!G63+'T3 NSA'!G63</f>
        <v>0</v>
      </c>
      <c r="H63" s="1282">
        <f>'T3 ANSP'!H63+'T3 MET'!H63+'T3 NSA'!H63</f>
        <v>0</v>
      </c>
      <c r="I63" s="1283">
        <f>'T3 ANSP'!I63+'T3 MET'!I63+'T3 NSA'!I63</f>
        <v>0</v>
      </c>
      <c r="J63" s="1280">
        <f>'T3 ANSP'!J63+'T3 MET'!J63+'T3 NSA'!J63</f>
        <v>0</v>
      </c>
      <c r="L63" s="418"/>
    </row>
    <row r="64" spans="1:12" ht="4.3499999999999996" customHeight="1">
      <c r="A64" s="540"/>
      <c r="B64" s="540"/>
      <c r="C64" s="427"/>
      <c r="D64" s="1310"/>
      <c r="E64" s="1311"/>
      <c r="F64" s="1311"/>
      <c r="G64" s="1311"/>
      <c r="H64" s="1311"/>
      <c r="I64" s="1311"/>
      <c r="J64" s="1311"/>
      <c r="L64" s="418"/>
    </row>
    <row r="65" spans="1:12" ht="12" customHeight="1">
      <c r="A65" s="425" t="s">
        <v>500</v>
      </c>
      <c r="B65" s="425"/>
      <c r="C65" s="944"/>
      <c r="D65" s="1297"/>
      <c r="E65" s="1297"/>
      <c r="F65" s="1297"/>
      <c r="G65" s="1297"/>
      <c r="H65" s="1297"/>
      <c r="I65" s="1297"/>
      <c r="J65" s="1297"/>
      <c r="K65" s="425"/>
      <c r="L65" s="418"/>
    </row>
    <row r="66" spans="1:12" ht="12" customHeight="1">
      <c r="A66" s="425" t="s">
        <v>501</v>
      </c>
      <c r="B66" s="425"/>
      <c r="C66" s="417" t="s">
        <v>508</v>
      </c>
      <c r="D66" s="1254">
        <f>'T3 ANSP'!D66+'T3 MET'!D66+'T3 NSA'!D66</f>
        <v>0</v>
      </c>
      <c r="E66" s="1302">
        <f>'T3 ANSP'!E66+'T3 MET'!E66+'T3 NSA'!E66</f>
        <v>0</v>
      </c>
      <c r="F66" s="1256">
        <f>'T3 ANSP'!F66+'T3 MET'!F66+'T3 NSA'!F66</f>
        <v>0</v>
      </c>
      <c r="G66" s="1257">
        <f>'T3 ANSP'!G66+'T3 MET'!G66+'T3 NSA'!G66</f>
        <v>0</v>
      </c>
      <c r="H66" s="1303">
        <f>'T3 ANSP'!H66+'T3 MET'!H66+'T3 NSA'!H66</f>
        <v>0</v>
      </c>
      <c r="I66" s="1288">
        <f>'T3 ANSP'!I66+'T3 MET'!I66+'T3 NSA'!I66</f>
        <v>0</v>
      </c>
      <c r="J66" s="1254">
        <f>'T3 ANSP'!J66+'T3 MET'!J66+'T3 NSA'!J66</f>
        <v>0</v>
      </c>
      <c r="L66" s="418"/>
    </row>
    <row r="67" spans="1:12" ht="12" customHeight="1">
      <c r="A67" s="425">
        <v>2022</v>
      </c>
      <c r="B67" s="425"/>
      <c r="C67" s="423" t="s">
        <v>267</v>
      </c>
      <c r="D67" s="1260">
        <f>'T3 ANSP'!D67+'T3 MET'!D67+'T3 NSA'!D67</f>
        <v>0</v>
      </c>
      <c r="E67" s="1261">
        <f>'T3 ANSP'!E67+'T3 MET'!E67+'T3 NSA'!E67</f>
        <v>0</v>
      </c>
      <c r="F67" s="1304">
        <f>'T3 ANSP'!F67+'T3 MET'!F67+'T3 NSA'!F67</f>
        <v>0</v>
      </c>
      <c r="G67" s="1263">
        <f>'T3 ANSP'!G67+'T3 MET'!G67+'T3 NSA'!G67</f>
        <v>0</v>
      </c>
      <c r="H67" s="1263">
        <f>'T3 ANSP'!H67+'T3 MET'!H67+'T3 NSA'!H67</f>
        <v>0</v>
      </c>
      <c r="I67" s="1305">
        <f>'T3 ANSP'!I67+'T3 MET'!I67+'T3 NSA'!I67</f>
        <v>0</v>
      </c>
      <c r="J67" s="1260">
        <f>'T3 ANSP'!J67+'T3 MET'!J67+'T3 NSA'!J67</f>
        <v>0</v>
      </c>
      <c r="L67" s="418"/>
    </row>
    <row r="68" spans="1:12" ht="12" customHeight="1">
      <c r="A68" s="425">
        <v>2023</v>
      </c>
      <c r="B68" s="425"/>
      <c r="C68" s="423" t="s">
        <v>268</v>
      </c>
      <c r="D68" s="1260">
        <f>'T3 ANSP'!D68+'T3 MET'!D68+'T3 NSA'!D68</f>
        <v>0</v>
      </c>
      <c r="E68" s="1261">
        <f>'T3 ANSP'!E68+'T3 MET'!E68+'T3 NSA'!E68</f>
        <v>0</v>
      </c>
      <c r="F68" s="1304">
        <f>'T3 ANSP'!F68+'T3 MET'!F68+'T3 NSA'!F68</f>
        <v>0</v>
      </c>
      <c r="G68" s="1263">
        <f>'T3 ANSP'!G68+'T3 MET'!G68+'T3 NSA'!G68</f>
        <v>0</v>
      </c>
      <c r="H68" s="1263">
        <f>'T3 ANSP'!H68+'T3 MET'!H68+'T3 NSA'!H68</f>
        <v>0</v>
      </c>
      <c r="I68" s="1264">
        <f>'T3 ANSP'!I68+'T3 MET'!I68+'T3 NSA'!I68</f>
        <v>0</v>
      </c>
      <c r="J68" s="1260">
        <f>'T3 ANSP'!J68+'T3 MET'!J68+'T3 NSA'!J68</f>
        <v>0</v>
      </c>
      <c r="L68" s="418"/>
    </row>
    <row r="69" spans="1:12" ht="12" customHeight="1">
      <c r="A69" s="425">
        <v>2024</v>
      </c>
      <c r="B69" s="425"/>
      <c r="C69" s="942" t="s">
        <v>269</v>
      </c>
      <c r="D69" s="1306">
        <f>'T3 ANSP'!D69+'T3 MET'!D69+'T3 NSA'!D69</f>
        <v>0</v>
      </c>
      <c r="E69" s="1307">
        <f>'T3 ANSP'!E69+'T3 MET'!E69+'T3 NSA'!E69</f>
        <v>0</v>
      </c>
      <c r="F69" s="1308">
        <f>'T3 ANSP'!F69+'T3 MET'!F69+'T3 NSA'!F69</f>
        <v>0</v>
      </c>
      <c r="G69" s="1308">
        <f>'T3 ANSP'!G69+'T3 MET'!G69+'T3 NSA'!G69</f>
        <v>0</v>
      </c>
      <c r="H69" s="1308">
        <f>'T3 ANSP'!H69+'T3 MET'!H69+'T3 NSA'!H69</f>
        <v>0</v>
      </c>
      <c r="I69" s="1382">
        <f>'T3 ANSP'!I69+'T3 MET'!I69+'T3 NSA'!I69</f>
        <v>0</v>
      </c>
      <c r="J69" s="1306">
        <f>'T3 ANSP'!J69+'T3 MET'!J69+'T3 NSA'!J69</f>
        <v>0</v>
      </c>
      <c r="L69" s="418"/>
    </row>
    <row r="70" spans="1:12" ht="12" customHeight="1">
      <c r="A70" s="425" t="s">
        <v>237</v>
      </c>
      <c r="B70" s="425"/>
      <c r="C70" s="422" t="s">
        <v>270</v>
      </c>
      <c r="D70" s="1280">
        <f>'T3 ANSP'!D70+'T3 MET'!D70+'T3 NSA'!D70</f>
        <v>0</v>
      </c>
      <c r="E70" s="1291">
        <f>'T3 ANSP'!E70+'T3 MET'!E70+'T3 NSA'!E70</f>
        <v>0</v>
      </c>
      <c r="F70" s="1292">
        <f>'T3 ANSP'!F70+'T3 MET'!F70+'T3 NSA'!F70</f>
        <v>0</v>
      </c>
      <c r="G70" s="1292">
        <f>'T3 ANSP'!G70+'T3 MET'!G70+'T3 NSA'!G70</f>
        <v>0</v>
      </c>
      <c r="H70" s="1282">
        <f>'T3 ANSP'!H70+'T3 MET'!H70+'T3 NSA'!H70</f>
        <v>0</v>
      </c>
      <c r="I70" s="1283">
        <f>'T3 ANSP'!I70+'T3 MET'!I70+'T3 NSA'!I70</f>
        <v>0</v>
      </c>
      <c r="J70" s="1280">
        <f>'T3 ANSP'!J70+'T3 MET'!J70+'T3 NSA'!J70</f>
        <v>0</v>
      </c>
      <c r="L70" s="418"/>
    </row>
    <row r="71" spans="1:12" ht="4.3499999999999996" customHeight="1">
      <c r="A71" s="540"/>
      <c r="B71" s="540"/>
      <c r="C71" s="427"/>
      <c r="D71" s="1310"/>
      <c r="E71" s="1311"/>
      <c r="F71" s="1311"/>
      <c r="G71" s="1311"/>
      <c r="H71" s="1311"/>
      <c r="I71" s="1311"/>
      <c r="J71" s="1311"/>
      <c r="L71" s="418"/>
    </row>
    <row r="72" spans="1:12" ht="12" customHeight="1">
      <c r="A72" s="425">
        <v>2017</v>
      </c>
      <c r="B72" s="425"/>
      <c r="C72" s="417" t="s">
        <v>271</v>
      </c>
      <c r="D72" s="1254">
        <f>'T3 ANSP'!D72+'T3 MET'!D72+'T3 NSA'!D72</f>
        <v>0</v>
      </c>
      <c r="E72" s="1312">
        <f>'T3 ANSP'!E72+'T3 MET'!E72+'T3 NSA'!E72</f>
        <v>0</v>
      </c>
      <c r="F72" s="1303">
        <f>'T3 ANSP'!F72+'T3 MET'!F72+'T3 NSA'!F72</f>
        <v>0</v>
      </c>
      <c r="G72" s="1303">
        <f>'T3 ANSP'!G72+'T3 MET'!G72+'T3 NSA'!G72</f>
        <v>0</v>
      </c>
      <c r="H72" s="1303">
        <f>'T3 ANSP'!H72+'T3 MET'!H72+'T3 NSA'!H72</f>
        <v>0</v>
      </c>
      <c r="I72" s="1319">
        <f>'T3 ANSP'!I72+'T3 MET'!I72+'T3 NSA'!I72</f>
        <v>0</v>
      </c>
      <c r="J72" s="1254">
        <f>'T3 ANSP'!J72+'T3 MET'!J72+'T3 NSA'!J72</f>
        <v>0</v>
      </c>
      <c r="L72" s="418"/>
    </row>
    <row r="73" spans="1:12" ht="12" customHeight="1">
      <c r="A73" s="425">
        <v>2018</v>
      </c>
      <c r="B73" s="425"/>
      <c r="C73" s="419" t="s">
        <v>272</v>
      </c>
      <c r="D73" s="1260">
        <f>'T3 ANSP'!D73+'T3 MET'!D73+'T3 NSA'!D73</f>
        <v>0</v>
      </c>
      <c r="E73" s="1313">
        <f>'T3 ANSP'!E73+'T3 MET'!E73+'T3 NSA'!E73</f>
        <v>0</v>
      </c>
      <c r="F73" s="1314">
        <f>'T3 ANSP'!F73+'T3 MET'!F73+'T3 NSA'!F73</f>
        <v>0</v>
      </c>
      <c r="G73" s="1314">
        <f>'T3 ANSP'!G73+'T3 MET'!G73+'T3 NSA'!G73</f>
        <v>0</v>
      </c>
      <c r="H73" s="1314">
        <f>'T3 ANSP'!H73+'T3 MET'!H73+'T3 NSA'!H73</f>
        <v>0</v>
      </c>
      <c r="I73" s="1305">
        <f>'T3 ANSP'!I73+'T3 MET'!I73+'T3 NSA'!I73</f>
        <v>0</v>
      </c>
      <c r="J73" s="1260">
        <f>'T3 ANSP'!J73+'T3 MET'!J73+'T3 NSA'!J73</f>
        <v>0</v>
      </c>
      <c r="L73" s="418"/>
    </row>
    <row r="74" spans="1:12" ht="12" customHeight="1">
      <c r="A74" s="425">
        <v>2019</v>
      </c>
      <c r="B74" s="425"/>
      <c r="C74" s="419" t="s">
        <v>273</v>
      </c>
      <c r="D74" s="1322">
        <f>'T3 ANSP'!D74+'T3 MET'!D74+'T3 NSA'!D74</f>
        <v>0</v>
      </c>
      <c r="E74" s="1307">
        <f>'T3 ANSP'!E74+'T3 MET'!E74+'T3 NSA'!E74</f>
        <v>0</v>
      </c>
      <c r="F74" s="1362">
        <f>'T3 ANSP'!F74+'T3 MET'!F74+'T3 NSA'!F74</f>
        <v>0</v>
      </c>
      <c r="G74" s="1362">
        <f>'T3 ANSP'!G74+'T3 MET'!G74+'T3 NSA'!G74</f>
        <v>0</v>
      </c>
      <c r="H74" s="1362">
        <f>'T3 ANSP'!H74+'T3 MET'!H74+'T3 NSA'!H74</f>
        <v>0</v>
      </c>
      <c r="I74" s="1363">
        <f>'T3 ANSP'!I74+'T3 MET'!I74+'T3 NSA'!I74</f>
        <v>0</v>
      </c>
      <c r="J74" s="1322">
        <f>'T3 ANSP'!J74+'T3 MET'!J74+'T3 NSA'!J74</f>
        <v>0</v>
      </c>
      <c r="L74" s="418"/>
    </row>
    <row r="75" spans="1:12" ht="12" customHeight="1">
      <c r="A75" s="425" t="s">
        <v>237</v>
      </c>
      <c r="B75" s="425"/>
      <c r="C75" s="559" t="s">
        <v>274</v>
      </c>
      <c r="D75" s="1280">
        <f>'T3 ANSP'!D75+'T3 MET'!D75+'T3 NSA'!D75</f>
        <v>0</v>
      </c>
      <c r="E75" s="1281">
        <f>'T3 ANSP'!E75+'T3 MET'!E75+'T3 NSA'!E75</f>
        <v>0</v>
      </c>
      <c r="F75" s="1282">
        <f>'T3 ANSP'!F75+'T3 MET'!F75+'T3 NSA'!F75</f>
        <v>0</v>
      </c>
      <c r="G75" s="1282">
        <f>'T3 ANSP'!G75+'T3 MET'!G75+'T3 NSA'!G75</f>
        <v>0</v>
      </c>
      <c r="H75" s="1282">
        <f>'T3 ANSP'!H75+'T3 MET'!H75+'T3 NSA'!H75</f>
        <v>0</v>
      </c>
      <c r="I75" s="1283">
        <f>'T3 ANSP'!I75+'T3 MET'!I75+'T3 NSA'!I75</f>
        <v>0</v>
      </c>
      <c r="J75" s="1280">
        <f>'T3 ANSP'!J75+'T3 MET'!J75+'T3 NSA'!J75</f>
        <v>0</v>
      </c>
      <c r="L75" s="418"/>
    </row>
    <row r="76" spans="1:12" ht="4.3499999999999996" customHeight="1">
      <c r="A76" s="540"/>
      <c r="B76" s="540"/>
      <c r="C76" s="427"/>
      <c r="D76" s="1310"/>
      <c r="E76" s="1311"/>
      <c r="F76" s="1311"/>
      <c r="G76" s="1311"/>
      <c r="H76" s="1311"/>
      <c r="I76" s="1311"/>
      <c r="J76" s="1311"/>
      <c r="L76" s="418"/>
    </row>
    <row r="77" spans="1:12" ht="12" customHeight="1">
      <c r="A77" s="425">
        <v>2017</v>
      </c>
      <c r="B77" s="425"/>
      <c r="C77" s="417" t="s">
        <v>275</v>
      </c>
      <c r="D77" s="1254">
        <f>'T3 ANSP'!D77+'T3 MET'!D77+'T3 NSA'!D77</f>
        <v>0</v>
      </c>
      <c r="E77" s="1312">
        <f>'T3 ANSP'!E77+'T3 MET'!E77+'T3 NSA'!E77</f>
        <v>0</v>
      </c>
      <c r="F77" s="1303">
        <f>'T3 ANSP'!F77+'T3 MET'!F77+'T3 NSA'!F77</f>
        <v>0</v>
      </c>
      <c r="G77" s="1303">
        <f>'T3 ANSP'!G77+'T3 MET'!G77+'T3 NSA'!G77</f>
        <v>0</v>
      </c>
      <c r="H77" s="1303">
        <f>'T3 ANSP'!H77+'T3 MET'!H77+'T3 NSA'!H77</f>
        <v>0</v>
      </c>
      <c r="I77" s="1319">
        <f>'T3 ANSP'!I77+'T3 MET'!I77+'T3 NSA'!I77</f>
        <v>0</v>
      </c>
      <c r="J77" s="1254">
        <f>'T3 ANSP'!J77+'T3 MET'!J77+'T3 NSA'!J77</f>
        <v>0</v>
      </c>
      <c r="L77" s="418"/>
    </row>
    <row r="78" spans="1:12" ht="12" customHeight="1">
      <c r="A78" s="425">
        <v>2018</v>
      </c>
      <c r="B78" s="425"/>
      <c r="C78" s="419" t="s">
        <v>276</v>
      </c>
      <c r="D78" s="1260">
        <f>'T3 ANSP'!D78+'T3 MET'!D78+'T3 NSA'!D78</f>
        <v>4733.1674712309805</v>
      </c>
      <c r="E78" s="1313">
        <f>'T3 ANSP'!E78+'T3 MET'!E78+'T3 NSA'!E78</f>
        <v>4733.1674712309805</v>
      </c>
      <c r="F78" s="1263">
        <f>'T3 ANSP'!F78+'T3 MET'!F78+'T3 NSA'!F78</f>
        <v>0</v>
      </c>
      <c r="G78" s="1263">
        <f>'T3 ANSP'!G78+'T3 MET'!G78+'T3 NSA'!G78</f>
        <v>0</v>
      </c>
      <c r="H78" s="1263">
        <f>'T3 ANSP'!H78+'T3 MET'!H78+'T3 NSA'!H78</f>
        <v>0</v>
      </c>
      <c r="I78" s="1264">
        <f>'T3 ANSP'!I78+'T3 MET'!I78+'T3 NSA'!I78</f>
        <v>0</v>
      </c>
      <c r="J78" s="1265">
        <f>'T3 ANSP'!J78+'T3 MET'!J78+'T3 NSA'!J78</f>
        <v>0</v>
      </c>
      <c r="L78" s="418"/>
    </row>
    <row r="79" spans="1:12" ht="12" customHeight="1">
      <c r="A79" s="425">
        <v>2019</v>
      </c>
      <c r="B79" s="425"/>
      <c r="C79" s="419" t="s">
        <v>277</v>
      </c>
      <c r="D79" s="1322">
        <f>'T3 ANSP'!D79+'T3 MET'!D79+'T3 NSA'!D79</f>
        <v>4763.1107065905016</v>
      </c>
      <c r="E79" s="1307">
        <f>'T3 ANSP'!E79+'T3 MET'!E79+'T3 NSA'!E79</f>
        <v>0</v>
      </c>
      <c r="F79" s="1362">
        <f>'T3 ANSP'!F79+'T3 MET'!F79+'T3 NSA'!F79</f>
        <v>4763.1107065905016</v>
      </c>
      <c r="G79" s="1263">
        <f>'T3 ANSP'!G79+'T3 MET'!G79+'T3 NSA'!G79</f>
        <v>0</v>
      </c>
      <c r="H79" s="1263">
        <f>'T3 ANSP'!H79+'T3 MET'!H79+'T3 NSA'!H79</f>
        <v>0</v>
      </c>
      <c r="I79" s="1264">
        <f>'T3 ANSP'!I79+'T3 MET'!I79+'T3 NSA'!I79</f>
        <v>0</v>
      </c>
      <c r="J79" s="1265">
        <f>'T3 ANSP'!J79+'T3 MET'!J79+'T3 NSA'!J79</f>
        <v>0</v>
      </c>
      <c r="L79" s="418"/>
    </row>
    <row r="80" spans="1:12" ht="12" customHeight="1">
      <c r="A80" s="425" t="s">
        <v>232</v>
      </c>
      <c r="B80" s="425"/>
      <c r="C80" s="556" t="s">
        <v>278</v>
      </c>
      <c r="D80" s="1266">
        <f>'T3 ANSP'!D80+'T3 MET'!D80+'T3 NSA'!D80</f>
        <v>9496.2781778214812</v>
      </c>
      <c r="E80" s="1325">
        <f>'T3 ANSP'!E80+'T3 MET'!E80+'T3 NSA'!E80</f>
        <v>4733.1674712309805</v>
      </c>
      <c r="F80" s="1268">
        <f>'T3 ANSP'!F80+'T3 MET'!F80+'T3 NSA'!F80</f>
        <v>4763.1107065905016</v>
      </c>
      <c r="G80" s="1268">
        <f>'T3 ANSP'!G80+'T3 MET'!G80+'T3 NSA'!G80</f>
        <v>0</v>
      </c>
      <c r="H80" s="1268">
        <f>'T3 ANSP'!H80+'T3 MET'!H80+'T3 NSA'!H80</f>
        <v>0</v>
      </c>
      <c r="I80" s="1320">
        <f>'T3 ANSP'!I80+'T3 MET'!I80+'T3 NSA'!I80</f>
        <v>0</v>
      </c>
      <c r="J80" s="1266">
        <f>'T3 ANSP'!J80+'T3 MET'!J80+'T3 NSA'!J80</f>
        <v>0</v>
      </c>
      <c r="L80" s="418"/>
    </row>
    <row r="81" spans="1:12" ht="12" customHeight="1">
      <c r="A81" s="425" t="s">
        <v>500</v>
      </c>
      <c r="B81" s="425"/>
      <c r="C81" s="1066"/>
      <c r="D81" s="1315"/>
      <c r="E81" s="1315"/>
      <c r="F81" s="1315"/>
      <c r="G81" s="1315"/>
      <c r="H81" s="1315"/>
      <c r="I81" s="1315"/>
      <c r="J81" s="1315"/>
      <c r="K81" s="425"/>
      <c r="L81" s="418"/>
    </row>
    <row r="82" spans="1:12" ht="12" customHeight="1">
      <c r="A82" s="425" t="s">
        <v>500</v>
      </c>
      <c r="B82" s="425"/>
      <c r="C82" s="944"/>
      <c r="D82" s="1297"/>
      <c r="E82" s="1297"/>
      <c r="F82" s="1297"/>
      <c r="G82" s="1297"/>
      <c r="H82" s="1297"/>
      <c r="I82" s="1297"/>
      <c r="J82" s="1297"/>
      <c r="K82" s="425"/>
      <c r="L82" s="418"/>
    </row>
    <row r="83" spans="1:12" ht="12" customHeight="1">
      <c r="A83" s="425">
        <v>2022</v>
      </c>
      <c r="B83" s="425"/>
      <c r="C83" s="419" t="s">
        <v>279</v>
      </c>
      <c r="D83" s="1260">
        <f>'T3 ANSP'!D83+'T3 MET'!D83+'T3 NSA'!D83</f>
        <v>0</v>
      </c>
      <c r="E83" s="1261">
        <f>'T3 ANSP'!E83+'T3 MET'!E83+'T3 NSA'!E83</f>
        <v>0</v>
      </c>
      <c r="F83" s="1304">
        <f>'T3 ANSP'!F83+'T3 MET'!F83+'T3 NSA'!F83</f>
        <v>0</v>
      </c>
      <c r="G83" s="1263">
        <f>'T3 ANSP'!G83+'T3 MET'!G83+'T3 NSA'!G83</f>
        <v>0</v>
      </c>
      <c r="H83" s="1263">
        <f>'T3 ANSP'!H83+'T3 MET'!H83+'T3 NSA'!H83</f>
        <v>0</v>
      </c>
      <c r="I83" s="1305">
        <f>'T3 ANSP'!I83+'T3 MET'!I83+'T3 NSA'!I83</f>
        <v>0</v>
      </c>
      <c r="J83" s="1265">
        <f>'T3 ANSP'!J83+'T3 MET'!J83+'T3 NSA'!J83</f>
        <v>0</v>
      </c>
      <c r="L83" s="418"/>
    </row>
    <row r="84" spans="1:12" ht="12" customHeight="1">
      <c r="A84" s="425">
        <v>2023</v>
      </c>
      <c r="B84" s="425"/>
      <c r="C84" s="419" t="s">
        <v>280</v>
      </c>
      <c r="D84" s="1260">
        <f>'T3 ANSP'!D84+'T3 MET'!D84+'T3 NSA'!D84</f>
        <v>0</v>
      </c>
      <c r="E84" s="1261">
        <f>'T3 ANSP'!E84+'T3 MET'!E84+'T3 NSA'!E84</f>
        <v>0</v>
      </c>
      <c r="F84" s="1304">
        <f>'T3 ANSP'!F84+'T3 MET'!F84+'T3 NSA'!F84</f>
        <v>0</v>
      </c>
      <c r="G84" s="1263">
        <f>'T3 ANSP'!G84+'T3 MET'!G84+'T3 NSA'!G84</f>
        <v>0</v>
      </c>
      <c r="H84" s="1263">
        <f>'T3 ANSP'!H84+'T3 MET'!H84+'T3 NSA'!H84</f>
        <v>0</v>
      </c>
      <c r="I84" s="1264">
        <f>'T3 ANSP'!I84+'T3 MET'!I84+'T3 NSA'!I84</f>
        <v>0</v>
      </c>
      <c r="J84" s="1260">
        <f>'T3 ANSP'!J84+'T3 MET'!J84+'T3 NSA'!J84</f>
        <v>0</v>
      </c>
      <c r="L84" s="418"/>
    </row>
    <row r="85" spans="1:12" ht="12" customHeight="1">
      <c r="A85" s="425">
        <v>2024</v>
      </c>
      <c r="B85" s="425"/>
      <c r="C85" s="421" t="s">
        <v>281</v>
      </c>
      <c r="D85" s="1322">
        <f>'T3 ANSP'!D85+'T3 MET'!D85+'T3 NSA'!D85</f>
        <v>0</v>
      </c>
      <c r="E85" s="1307">
        <f>'T3 ANSP'!E85+'T3 MET'!E85+'T3 NSA'!E85</f>
        <v>0</v>
      </c>
      <c r="F85" s="1308">
        <f>'T3 ANSP'!F85+'T3 MET'!F85+'T3 NSA'!F85</f>
        <v>0</v>
      </c>
      <c r="G85" s="1308">
        <f>'T3 ANSP'!G85+'T3 MET'!G85+'T3 NSA'!G85</f>
        <v>0</v>
      </c>
      <c r="H85" s="1308">
        <f>'T3 ANSP'!H85+'T3 MET'!H85+'T3 NSA'!H85</f>
        <v>0</v>
      </c>
      <c r="I85" s="1382">
        <f>'T3 ANSP'!I85+'T3 MET'!I85+'T3 NSA'!I85</f>
        <v>0</v>
      </c>
      <c r="J85" s="1322">
        <f>'T3 ANSP'!J85+'T3 MET'!J85+'T3 NSA'!J85</f>
        <v>0</v>
      </c>
      <c r="L85" s="418"/>
    </row>
    <row r="86" spans="1:12" ht="12" customHeight="1">
      <c r="A86" s="425" t="s">
        <v>237</v>
      </c>
      <c r="B86" s="425"/>
      <c r="C86" s="422" t="s">
        <v>282</v>
      </c>
      <c r="D86" s="1280">
        <f>'T3 ANSP'!D86+'T3 MET'!D86+'T3 NSA'!D86</f>
        <v>9496.2781778214812</v>
      </c>
      <c r="E86" s="1281">
        <f>'T3 ANSP'!E86+'T3 MET'!E86+'T3 NSA'!E86</f>
        <v>4733.1674712309805</v>
      </c>
      <c r="F86" s="1282">
        <f>'T3 ANSP'!F86+'T3 MET'!F86+'T3 NSA'!F86</f>
        <v>4763.1107065905016</v>
      </c>
      <c r="G86" s="1282">
        <f>'T3 ANSP'!G86+'T3 MET'!G86+'T3 NSA'!G86</f>
        <v>0</v>
      </c>
      <c r="H86" s="1282">
        <f>'T3 ANSP'!H86+'T3 MET'!H86+'T3 NSA'!H86</f>
        <v>0</v>
      </c>
      <c r="I86" s="1283">
        <f>'T3 ANSP'!I86+'T3 MET'!I86+'T3 NSA'!I86</f>
        <v>0</v>
      </c>
      <c r="J86" s="1280">
        <f>'T3 ANSP'!J86+'T3 MET'!J86+'T3 NSA'!J86</f>
        <v>0</v>
      </c>
      <c r="L86" s="418"/>
    </row>
    <row r="87" spans="1:12" ht="4.3499999999999996" customHeight="1">
      <c r="A87" s="540"/>
      <c r="B87" s="540"/>
      <c r="C87" s="427"/>
      <c r="D87" s="1310"/>
      <c r="E87" s="1310"/>
      <c r="F87" s="1310"/>
      <c r="G87" s="1310"/>
      <c r="H87" s="1310"/>
      <c r="I87" s="1384"/>
      <c r="J87" s="1310"/>
      <c r="L87" s="418"/>
    </row>
    <row r="88" spans="1:12" ht="12" customHeight="1">
      <c r="A88" s="425">
        <v>2017</v>
      </c>
      <c r="B88" s="425"/>
      <c r="C88" s="417" t="s">
        <v>283</v>
      </c>
      <c r="D88" s="1254">
        <f>'T3 ANSP'!D88+'T3 MET'!D88+'T3 NSA'!D88</f>
        <v>0</v>
      </c>
      <c r="E88" s="1312">
        <f>'T3 ANSP'!E88+'T3 MET'!E88+'T3 NSA'!E88</f>
        <v>0</v>
      </c>
      <c r="F88" s="1303">
        <f>'T3 ANSP'!F88+'T3 MET'!F88+'T3 NSA'!F88</f>
        <v>0</v>
      </c>
      <c r="G88" s="1303">
        <f>'T3 ANSP'!G88+'T3 MET'!G88+'T3 NSA'!G88</f>
        <v>0</v>
      </c>
      <c r="H88" s="1303">
        <f>'T3 ANSP'!H88+'T3 MET'!H88+'T3 NSA'!H88</f>
        <v>0</v>
      </c>
      <c r="I88" s="1319">
        <f>'T3 ANSP'!I88+'T3 MET'!I88+'T3 NSA'!I88</f>
        <v>0</v>
      </c>
      <c r="J88" s="1259">
        <f>'T3 ANSP'!J88+'T3 MET'!J88+'T3 NSA'!J88</f>
        <v>0</v>
      </c>
      <c r="L88" s="418"/>
    </row>
    <row r="89" spans="1:12" ht="12" customHeight="1">
      <c r="A89" s="425">
        <v>2018</v>
      </c>
      <c r="B89" s="425"/>
      <c r="C89" s="419" t="s">
        <v>284</v>
      </c>
      <c r="D89" s="1260">
        <f>'T3 ANSP'!D89+'T3 MET'!D89+'T3 NSA'!D89</f>
        <v>0</v>
      </c>
      <c r="E89" s="1313">
        <f>'T3 ANSP'!E89+'T3 MET'!E89+'T3 NSA'!E89</f>
        <v>0</v>
      </c>
      <c r="F89" s="1314">
        <f>'T3 ANSP'!F89+'T3 MET'!F89+'T3 NSA'!F89</f>
        <v>0</v>
      </c>
      <c r="G89" s="1314">
        <f>'T3 ANSP'!G89+'T3 MET'!G89+'T3 NSA'!G89</f>
        <v>0</v>
      </c>
      <c r="H89" s="1314">
        <f>'T3 ANSP'!H89+'T3 MET'!H89+'T3 NSA'!H89</f>
        <v>0</v>
      </c>
      <c r="I89" s="1305">
        <f>'T3 ANSP'!I89+'T3 MET'!I89+'T3 NSA'!I89</f>
        <v>0</v>
      </c>
      <c r="J89" s="1265">
        <f>'T3 ANSP'!J89+'T3 MET'!J89+'T3 NSA'!J89</f>
        <v>0</v>
      </c>
      <c r="L89" s="418"/>
    </row>
    <row r="90" spans="1:12" ht="12" customHeight="1">
      <c r="A90" s="425">
        <v>2019</v>
      </c>
      <c r="B90" s="425"/>
      <c r="C90" s="419" t="s">
        <v>285</v>
      </c>
      <c r="D90" s="1322">
        <f>'T3 ANSP'!D90+'T3 MET'!D90+'T3 NSA'!D90</f>
        <v>0</v>
      </c>
      <c r="E90" s="1307">
        <f>'T3 ANSP'!E90+'T3 MET'!E90+'T3 NSA'!E90</f>
        <v>0</v>
      </c>
      <c r="F90" s="1362">
        <f>'T3 ANSP'!F90+'T3 MET'!F90+'T3 NSA'!F90</f>
        <v>0</v>
      </c>
      <c r="G90" s="1362">
        <f>'T3 ANSP'!G90+'T3 MET'!G90+'T3 NSA'!G90</f>
        <v>0</v>
      </c>
      <c r="H90" s="1362">
        <f>'T3 ANSP'!H90+'T3 MET'!H90+'T3 NSA'!H90</f>
        <v>0</v>
      </c>
      <c r="I90" s="1363">
        <f>'T3 ANSP'!I90+'T3 MET'!I90+'T3 NSA'!I90</f>
        <v>0</v>
      </c>
      <c r="J90" s="1265">
        <f>'T3 ANSP'!J90+'T3 MET'!J90+'T3 NSA'!J90</f>
        <v>0</v>
      </c>
      <c r="L90" s="418"/>
    </row>
    <row r="91" spans="1:12" ht="12" customHeight="1">
      <c r="A91" s="425" t="s">
        <v>232</v>
      </c>
      <c r="B91" s="425"/>
      <c r="C91" s="556" t="s">
        <v>286</v>
      </c>
      <c r="D91" s="1266">
        <f>'T3 ANSP'!D91+'T3 MET'!D91+'T3 NSA'!D91</f>
        <v>0</v>
      </c>
      <c r="E91" s="1325">
        <f>'T3 ANSP'!E91+'T3 MET'!E91+'T3 NSA'!E91</f>
        <v>0</v>
      </c>
      <c r="F91" s="1268">
        <f>'T3 ANSP'!F91+'T3 MET'!F91+'T3 NSA'!F91</f>
        <v>0</v>
      </c>
      <c r="G91" s="1268">
        <f>'T3 ANSP'!G91+'T3 MET'!G91+'T3 NSA'!G91</f>
        <v>0</v>
      </c>
      <c r="H91" s="1268">
        <f>'T3 ANSP'!H91+'T3 MET'!H91+'T3 NSA'!H91</f>
        <v>0</v>
      </c>
      <c r="I91" s="1320">
        <f>'T3 ANSP'!I91+'T3 MET'!I91+'T3 NSA'!I91</f>
        <v>0</v>
      </c>
      <c r="J91" s="1266">
        <f>'T3 ANSP'!J91+'T3 MET'!J91+'T3 NSA'!J91</f>
        <v>0</v>
      </c>
      <c r="L91" s="418"/>
    </row>
    <row r="92" spans="1:12" ht="12" customHeight="1">
      <c r="A92" s="425" t="s">
        <v>500</v>
      </c>
      <c r="B92" s="425"/>
      <c r="C92" s="943"/>
      <c r="D92" s="1272"/>
      <c r="E92" s="1272"/>
      <c r="F92" s="1272"/>
      <c r="G92" s="1272"/>
      <c r="H92" s="1272"/>
      <c r="I92" s="1272"/>
      <c r="J92" s="1272"/>
      <c r="K92" s="425"/>
      <c r="L92" s="418"/>
    </row>
    <row r="93" spans="1:12" ht="12" customHeight="1">
      <c r="A93" s="425" t="s">
        <v>501</v>
      </c>
      <c r="B93" s="425"/>
      <c r="C93" s="419" t="s">
        <v>517</v>
      </c>
      <c r="D93" s="1260">
        <f>'T3 ANSP'!D93+'T3 MET'!D93+'T3 NSA'!D93</f>
        <v>0</v>
      </c>
      <c r="E93" s="1261">
        <f>'T3 ANSP'!E93+'T3 MET'!E93+'T3 NSA'!E93</f>
        <v>0</v>
      </c>
      <c r="F93" s="1304">
        <f>'T3 ANSP'!F93+'T3 MET'!F93+'T3 NSA'!F93</f>
        <v>0</v>
      </c>
      <c r="G93" s="1263">
        <f>'T3 ANSP'!G93+'T3 MET'!G93+'T3 NSA'!G93</f>
        <v>0</v>
      </c>
      <c r="H93" s="1314">
        <f>'T3 ANSP'!H93+'T3 MET'!H93+'T3 NSA'!H93</f>
        <v>0</v>
      </c>
      <c r="I93" s="1264">
        <f>'T3 ANSP'!I93+'T3 MET'!I93+'T3 NSA'!I93</f>
        <v>0</v>
      </c>
      <c r="J93" s="1265">
        <f>'T3 ANSP'!J93+'T3 MET'!J93+'T3 NSA'!J93</f>
        <v>0</v>
      </c>
      <c r="L93" s="418"/>
    </row>
    <row r="94" spans="1:12" ht="12" customHeight="1">
      <c r="A94" s="425">
        <v>2022</v>
      </c>
      <c r="B94" s="425"/>
      <c r="C94" s="419" t="s">
        <v>287</v>
      </c>
      <c r="D94" s="1260">
        <f>'T3 ANSP'!D94+'T3 MET'!D94+'T3 NSA'!D94</f>
        <v>0</v>
      </c>
      <c r="E94" s="1261">
        <f>'T3 ANSP'!E94+'T3 MET'!E94+'T3 NSA'!E94</f>
        <v>0</v>
      </c>
      <c r="F94" s="1304">
        <f>'T3 ANSP'!F94+'T3 MET'!F94+'T3 NSA'!F94</f>
        <v>0</v>
      </c>
      <c r="G94" s="1263">
        <f>'T3 ANSP'!G94+'T3 MET'!G94+'T3 NSA'!G94</f>
        <v>0</v>
      </c>
      <c r="H94" s="1263">
        <f>'T3 ANSP'!H94+'T3 MET'!H94+'T3 NSA'!H94</f>
        <v>0</v>
      </c>
      <c r="I94" s="1305">
        <f>'T3 ANSP'!I94+'T3 MET'!I94+'T3 NSA'!I94</f>
        <v>0</v>
      </c>
      <c r="J94" s="1265">
        <f>'T3 ANSP'!J94+'T3 MET'!J94+'T3 NSA'!J94</f>
        <v>0</v>
      </c>
      <c r="L94" s="418"/>
    </row>
    <row r="95" spans="1:12" ht="12" customHeight="1">
      <c r="A95" s="425">
        <v>2023</v>
      </c>
      <c r="B95" s="425"/>
      <c r="C95" s="419" t="s">
        <v>288</v>
      </c>
      <c r="D95" s="1260">
        <f>'T3 ANSP'!D95+'T3 MET'!D95+'T3 NSA'!D95</f>
        <v>0</v>
      </c>
      <c r="E95" s="1261">
        <f>'T3 ANSP'!E95+'T3 MET'!E95+'T3 NSA'!E95</f>
        <v>0</v>
      </c>
      <c r="F95" s="1304">
        <f>'T3 ANSP'!F95+'T3 MET'!F95+'T3 NSA'!F95</f>
        <v>0</v>
      </c>
      <c r="G95" s="1263">
        <f>'T3 ANSP'!G95+'T3 MET'!G95+'T3 NSA'!G95</f>
        <v>0</v>
      </c>
      <c r="H95" s="1263">
        <f>'T3 ANSP'!H95+'T3 MET'!H95+'T3 NSA'!H95</f>
        <v>0</v>
      </c>
      <c r="I95" s="1264">
        <f>'T3 ANSP'!I95+'T3 MET'!I95+'T3 NSA'!I95</f>
        <v>0</v>
      </c>
      <c r="J95" s="1260">
        <f>'T3 ANSP'!J95+'T3 MET'!J95+'T3 NSA'!J95</f>
        <v>0</v>
      </c>
      <c r="L95" s="418"/>
    </row>
    <row r="96" spans="1:12" ht="12" customHeight="1">
      <c r="A96" s="425">
        <v>2024</v>
      </c>
      <c r="B96" s="425"/>
      <c r="C96" s="421" t="s">
        <v>289</v>
      </c>
      <c r="D96" s="1322">
        <f>'T3 ANSP'!D96+'T3 MET'!D96+'T3 NSA'!D96</f>
        <v>0</v>
      </c>
      <c r="E96" s="1307">
        <f>'T3 ANSP'!E96+'T3 MET'!E96+'T3 NSA'!E96</f>
        <v>0</v>
      </c>
      <c r="F96" s="1308">
        <f>'T3 ANSP'!F96+'T3 MET'!F96+'T3 NSA'!F96</f>
        <v>0</v>
      </c>
      <c r="G96" s="1308">
        <f>'T3 ANSP'!G96+'T3 MET'!G96+'T3 NSA'!G96</f>
        <v>0</v>
      </c>
      <c r="H96" s="1308">
        <f>'T3 ANSP'!H96+'T3 MET'!H96+'T3 NSA'!H96</f>
        <v>0</v>
      </c>
      <c r="I96" s="1382">
        <f>'T3 ANSP'!I96+'T3 MET'!I96+'T3 NSA'!I96</f>
        <v>0</v>
      </c>
      <c r="J96" s="1322">
        <f>'T3 ANSP'!J96+'T3 MET'!J96+'T3 NSA'!J96</f>
        <v>0</v>
      </c>
      <c r="L96" s="418"/>
    </row>
    <row r="97" spans="1:12" ht="12" customHeight="1">
      <c r="A97" s="425" t="s">
        <v>237</v>
      </c>
      <c r="B97" s="425"/>
      <c r="C97" s="422" t="s">
        <v>290</v>
      </c>
      <c r="D97" s="1280">
        <f>'T3 ANSP'!D97+'T3 MET'!D97+'T3 NSA'!D97</f>
        <v>0</v>
      </c>
      <c r="E97" s="1281">
        <f>'T3 ANSP'!E97+'T3 MET'!E97+'T3 NSA'!E97</f>
        <v>0</v>
      </c>
      <c r="F97" s="1282">
        <f>'T3 ANSP'!F97+'T3 MET'!F97+'T3 NSA'!F97</f>
        <v>0</v>
      </c>
      <c r="G97" s="1282">
        <f>'T3 ANSP'!G97+'T3 MET'!G97+'T3 NSA'!G97</f>
        <v>0</v>
      </c>
      <c r="H97" s="1282">
        <f>'T3 ANSP'!H97+'T3 MET'!H97+'T3 NSA'!H97</f>
        <v>0</v>
      </c>
      <c r="I97" s="1283">
        <f>'T3 ANSP'!I97+'T3 MET'!I97+'T3 NSA'!I97</f>
        <v>0</v>
      </c>
      <c r="J97" s="1280">
        <f>'T3 ANSP'!J97+'T3 MET'!J97+'T3 NSA'!J97</f>
        <v>0</v>
      </c>
      <c r="L97" s="418"/>
    </row>
    <row r="98" spans="1:12" ht="4.3499999999999996" customHeight="1">
      <c r="A98" s="540"/>
      <c r="B98" s="540"/>
      <c r="C98" s="427"/>
      <c r="D98" s="1310"/>
      <c r="E98" s="1311"/>
      <c r="F98" s="1311"/>
      <c r="G98" s="1311"/>
      <c r="H98" s="1311"/>
      <c r="I98" s="1311"/>
      <c r="J98" s="1311"/>
      <c r="L98" s="418"/>
    </row>
    <row r="99" spans="1:12" ht="12" customHeight="1">
      <c r="A99" s="425">
        <v>2017</v>
      </c>
      <c r="B99" s="425"/>
      <c r="C99" s="417" t="s">
        <v>291</v>
      </c>
      <c r="D99" s="1254">
        <f>'T3 ANSP'!D99+'T3 MET'!D99+'T3 NSA'!D99</f>
        <v>0</v>
      </c>
      <c r="E99" s="1312">
        <f>'T3 ANSP'!E99+'T3 MET'!E99+'T3 NSA'!E99</f>
        <v>0</v>
      </c>
      <c r="F99" s="1303">
        <f>'T3 ANSP'!F99+'T3 MET'!F99+'T3 NSA'!F99</f>
        <v>0</v>
      </c>
      <c r="G99" s="1303">
        <f>'T3 ANSP'!G99+'T3 MET'!G99+'T3 NSA'!G99</f>
        <v>0</v>
      </c>
      <c r="H99" s="1303">
        <f>'T3 ANSP'!H99+'T3 MET'!H99+'T3 NSA'!H99</f>
        <v>0</v>
      </c>
      <c r="I99" s="1319">
        <f>'T3 ANSP'!I99+'T3 MET'!I99+'T3 NSA'!I99</f>
        <v>0</v>
      </c>
      <c r="J99" s="1254">
        <f>'T3 ANSP'!J99+'T3 MET'!J99+'T3 NSA'!J99</f>
        <v>0</v>
      </c>
      <c r="L99" s="418"/>
    </row>
    <row r="100" spans="1:12" ht="12" customHeight="1">
      <c r="A100" s="425">
        <v>2018</v>
      </c>
      <c r="B100" s="425"/>
      <c r="C100" s="419" t="s">
        <v>292</v>
      </c>
      <c r="D100" s="1260">
        <f>'T3 ANSP'!D100+'T3 MET'!D100+'T3 NSA'!D100</f>
        <v>5958.1626099087362</v>
      </c>
      <c r="E100" s="1313">
        <f>'T3 ANSP'!E100+'T3 MET'!E100+'T3 NSA'!E100</f>
        <v>5958.1626099087362</v>
      </c>
      <c r="F100" s="1314">
        <f>'T3 ANSP'!F100+'T3 MET'!F100+'T3 NSA'!F100</f>
        <v>0</v>
      </c>
      <c r="G100" s="1314">
        <f>'T3 ANSP'!G100+'T3 MET'!G100+'T3 NSA'!G100</f>
        <v>0</v>
      </c>
      <c r="H100" s="1314">
        <f>'T3 ANSP'!H100+'T3 MET'!H100+'T3 NSA'!H100</f>
        <v>0</v>
      </c>
      <c r="I100" s="1305">
        <f>'T3 ANSP'!I100+'T3 MET'!I100+'T3 NSA'!I100</f>
        <v>0</v>
      </c>
      <c r="J100" s="1260">
        <f>'T3 ANSP'!J100+'T3 MET'!J100+'T3 NSA'!J100</f>
        <v>0</v>
      </c>
      <c r="L100" s="418"/>
    </row>
    <row r="101" spans="1:12" ht="12" customHeight="1">
      <c r="A101" s="425">
        <v>2019</v>
      </c>
      <c r="B101" s="425"/>
      <c r="C101" s="419" t="s">
        <v>293</v>
      </c>
      <c r="D101" s="1322">
        <f>'T3 ANSP'!D101+'T3 MET'!D101+'T3 NSA'!D101</f>
        <v>8949.8365949817271</v>
      </c>
      <c r="E101" s="1307">
        <f>'T3 ANSP'!E101+'T3 MET'!E101+'T3 NSA'!E101</f>
        <v>0</v>
      </c>
      <c r="F101" s="1362">
        <f>'T3 ANSP'!F101+'T3 MET'!F101+'T3 NSA'!F101</f>
        <v>8949.8365949817271</v>
      </c>
      <c r="G101" s="1362">
        <f>'T3 ANSP'!G101+'T3 MET'!G101+'T3 NSA'!G101</f>
        <v>0</v>
      </c>
      <c r="H101" s="1362">
        <f>'T3 ANSP'!H101+'T3 MET'!H101+'T3 NSA'!H101</f>
        <v>0</v>
      </c>
      <c r="I101" s="1363">
        <f>'T3 ANSP'!I101+'T3 MET'!I101+'T3 NSA'!I101</f>
        <v>0</v>
      </c>
      <c r="J101" s="1322">
        <f>'T3 ANSP'!J101+'T3 MET'!J101+'T3 NSA'!J101</f>
        <v>0</v>
      </c>
      <c r="L101" s="418"/>
    </row>
    <row r="102" spans="1:12" ht="12" customHeight="1">
      <c r="A102" s="425" t="s">
        <v>232</v>
      </c>
      <c r="B102" s="425"/>
      <c r="C102" s="556" t="s">
        <v>294</v>
      </c>
      <c r="D102" s="1266">
        <f>'T3 ANSP'!D102+'T3 MET'!D102+'T3 NSA'!D102</f>
        <v>14907.999204890462</v>
      </c>
      <c r="E102" s="1325">
        <f>'T3 ANSP'!E102+'T3 MET'!E102+'T3 NSA'!E102</f>
        <v>5958.1626099087362</v>
      </c>
      <c r="F102" s="1268">
        <f>'T3 ANSP'!F102+'T3 MET'!F102+'T3 NSA'!F102</f>
        <v>8949.8365949817271</v>
      </c>
      <c r="G102" s="1268">
        <f>'T3 ANSP'!G102+'T3 MET'!G102+'T3 NSA'!G102</f>
        <v>0</v>
      </c>
      <c r="H102" s="1268">
        <f>'T3 ANSP'!H102+'T3 MET'!H102+'T3 NSA'!H102</f>
        <v>0</v>
      </c>
      <c r="I102" s="1320">
        <f>'T3 ANSP'!I102+'T3 MET'!I102+'T3 NSA'!I102</f>
        <v>0</v>
      </c>
      <c r="J102" s="1266">
        <f>'T3 ANSP'!J102+'T3 MET'!J102+'T3 NSA'!J102</f>
        <v>0</v>
      </c>
      <c r="L102" s="418"/>
    </row>
    <row r="103" spans="1:12" ht="12" customHeight="1">
      <c r="A103" s="425" t="s">
        <v>501</v>
      </c>
      <c r="B103" s="425"/>
      <c r="C103" s="1393" t="s">
        <v>720</v>
      </c>
      <c r="D103" s="1254">
        <f>'T3 ANSP'!D103+'T3 MET'!D103+'T3 NSA'!D103</f>
        <v>25426.390125546048</v>
      </c>
      <c r="E103" s="1302">
        <f>'T3 ANSP'!E103+'T3 MET'!E103+'T3 NSA'!E103</f>
        <v>0</v>
      </c>
      <c r="F103" s="1256">
        <f>'T3 ANSP'!F103+'T3 MET'!F103+'T3 NSA'!F103</f>
        <v>0</v>
      </c>
      <c r="G103" s="1303">
        <f>'T3 ANSP'!G103+'T3 MET'!G103+'T3 NSA'!G103</f>
        <v>25426.390125546048</v>
      </c>
      <c r="H103" s="1303">
        <f>'T3 ANSP'!H103+'T3 MET'!H103+'T3 NSA'!H103</f>
        <v>0</v>
      </c>
      <c r="I103" s="1319">
        <f>'T3 ANSP'!I103+'T3 MET'!I103+'T3 NSA'!I103</f>
        <v>0</v>
      </c>
      <c r="J103" s="1254">
        <f>'T3 ANSP'!J103+'T3 MET'!J103+'T3 NSA'!J103</f>
        <v>0</v>
      </c>
      <c r="K103" s="425"/>
      <c r="L103" s="418"/>
    </row>
    <row r="104" spans="1:12" ht="12" customHeight="1">
      <c r="A104" s="425" t="s">
        <v>501</v>
      </c>
      <c r="B104" s="425"/>
      <c r="C104" s="1393" t="s">
        <v>721</v>
      </c>
      <c r="D104" s="1436">
        <f>'T3 ANSP'!D104+'T3 MET'!D104+'T3 NSA'!D104</f>
        <v>30948.24689305641</v>
      </c>
      <c r="E104" s="1273">
        <f>'T3 ANSP'!E104+'T3 MET'!E104+'T3 NSA'!E104</f>
        <v>0</v>
      </c>
      <c r="F104" s="1263">
        <f>'T3 ANSP'!F104+'T3 MET'!F104+'T3 NSA'!F104</f>
        <v>0</v>
      </c>
      <c r="G104" s="1263">
        <f>'T3 ANSP'!G104+'T3 MET'!G104+'T3 NSA'!G104</f>
        <v>0</v>
      </c>
      <c r="H104" s="1437">
        <f>'T3 ANSP'!H104+'T3 MET'!H104+'T3 NSA'!H104</f>
        <v>30948.24689305641</v>
      </c>
      <c r="I104" s="1305">
        <f>'T3 ANSP'!I104+'T3 MET'!I104+'T3 NSA'!I104</f>
        <v>0</v>
      </c>
      <c r="J104" s="1260">
        <f>'T3 ANSP'!J104+'T3 MET'!J104+'T3 NSA'!J104</f>
        <v>0</v>
      </c>
      <c r="L104" s="418"/>
    </row>
    <row r="105" spans="1:12" ht="12" customHeight="1">
      <c r="A105" s="425">
        <v>2022</v>
      </c>
      <c r="B105" s="425"/>
      <c r="C105" s="1393" t="s">
        <v>295</v>
      </c>
      <c r="D105" s="1260">
        <f>'T3 ANSP'!D105+'T3 MET'!D105+'T3 NSA'!D105</f>
        <v>0</v>
      </c>
      <c r="E105" s="1273">
        <f>'T3 ANSP'!E105+'T3 MET'!E105+'T3 NSA'!E105</f>
        <v>0</v>
      </c>
      <c r="F105" s="1263">
        <f>'T3 ANSP'!F105+'T3 MET'!F105+'T3 NSA'!F105</f>
        <v>0</v>
      </c>
      <c r="G105" s="1263">
        <f>'T3 ANSP'!G105+'T3 MET'!G105+'T3 NSA'!G105</f>
        <v>0</v>
      </c>
      <c r="H105" s="1263">
        <f>'T3 ANSP'!H105+'T3 MET'!H105+'T3 NSA'!H105</f>
        <v>0</v>
      </c>
      <c r="I105" s="1305">
        <f>'T3 ANSP'!I105+'T3 MET'!I105+'T3 NSA'!I105</f>
        <v>0</v>
      </c>
      <c r="J105" s="1260">
        <f>'T3 ANSP'!J105+'T3 MET'!J105+'T3 NSA'!J105</f>
        <v>0</v>
      </c>
      <c r="L105" s="418"/>
    </row>
    <row r="106" spans="1:12" ht="12" customHeight="1">
      <c r="A106" s="425">
        <v>2023</v>
      </c>
      <c r="B106" s="425"/>
      <c r="C106" s="1393" t="s">
        <v>296</v>
      </c>
      <c r="D106" s="1260">
        <f>'T3 ANSP'!D106+'T3 MET'!D106+'T3 NSA'!D106</f>
        <v>0</v>
      </c>
      <c r="E106" s="1273">
        <f>'T3 ANSP'!E106+'T3 MET'!E106+'T3 NSA'!E106</f>
        <v>0</v>
      </c>
      <c r="F106" s="1263">
        <f>'T3 ANSP'!F106+'T3 MET'!F106+'T3 NSA'!F106</f>
        <v>0</v>
      </c>
      <c r="G106" s="1263">
        <f>'T3 ANSP'!G106+'T3 MET'!G106+'T3 NSA'!G106</f>
        <v>0</v>
      </c>
      <c r="H106" s="1263">
        <f>'T3 ANSP'!H106+'T3 MET'!H106+'T3 NSA'!H106</f>
        <v>0</v>
      </c>
      <c r="I106" s="1264">
        <f>'T3 ANSP'!I106+'T3 MET'!I106+'T3 NSA'!I106</f>
        <v>0</v>
      </c>
      <c r="J106" s="1260">
        <f>'T3 ANSP'!J106+'T3 MET'!J106+'T3 NSA'!J106</f>
        <v>0</v>
      </c>
      <c r="L106" s="418"/>
    </row>
    <row r="107" spans="1:12" ht="12" customHeight="1">
      <c r="A107" s="425">
        <v>2024</v>
      </c>
      <c r="B107" s="425"/>
      <c r="C107" s="1394" t="s">
        <v>297</v>
      </c>
      <c r="D107" s="1306">
        <f>'T3 ANSP'!D107+'T3 MET'!D107+'T3 NSA'!D107</f>
        <v>0</v>
      </c>
      <c r="E107" s="1276">
        <f>'T3 ANSP'!E107+'T3 MET'!E107+'T3 NSA'!E107</f>
        <v>0</v>
      </c>
      <c r="F107" s="1277">
        <f>'T3 ANSP'!F107+'T3 MET'!F107+'T3 NSA'!F107</f>
        <v>0</v>
      </c>
      <c r="G107" s="1277">
        <f>'T3 ANSP'!G107+'T3 MET'!G107+'T3 NSA'!G107</f>
        <v>0</v>
      </c>
      <c r="H107" s="1277">
        <f>'T3 ANSP'!H107+'T3 MET'!H107+'T3 NSA'!H107</f>
        <v>0</v>
      </c>
      <c r="I107" s="1351">
        <f>'T3 ANSP'!I107+'T3 MET'!I107+'T3 NSA'!I107</f>
        <v>0</v>
      </c>
      <c r="J107" s="1306">
        <f>'T3 ANSP'!J107+'T3 MET'!J107+'T3 NSA'!J107</f>
        <v>0</v>
      </c>
      <c r="L107" s="418"/>
    </row>
    <row r="108" spans="1:12" ht="12" customHeight="1">
      <c r="A108" s="425" t="s">
        <v>232</v>
      </c>
      <c r="B108" s="425"/>
      <c r="C108" s="420" t="s">
        <v>298</v>
      </c>
      <c r="D108" s="1306">
        <f>'T3 ANSP'!D108+'T3 MET'!D108+'T3 NSA'!D108</f>
        <v>56374.637018602458</v>
      </c>
      <c r="E108" s="1325">
        <f>'T3 ANSP'!E108+'T3 MET'!E108+'T3 NSA'!E108</f>
        <v>0</v>
      </c>
      <c r="F108" s="1268">
        <f>'T3 ANSP'!F108+'T3 MET'!F108+'T3 NSA'!F108</f>
        <v>0</v>
      </c>
      <c r="G108" s="1268">
        <f>'T3 ANSP'!G108+'T3 MET'!G108+'T3 NSA'!G108</f>
        <v>25426.390125546048</v>
      </c>
      <c r="H108" s="1268">
        <f>'T3 ANSP'!H108+'T3 MET'!H108+'T3 NSA'!H108</f>
        <v>30948.24689305641</v>
      </c>
      <c r="I108" s="1320">
        <f>'T3 ANSP'!I108+'T3 MET'!I108+'T3 NSA'!I108</f>
        <v>0</v>
      </c>
      <c r="J108" s="1266">
        <f>'T3 ANSP'!J108+'T3 MET'!J108+'T3 NSA'!J108</f>
        <v>0</v>
      </c>
      <c r="L108" s="418"/>
    </row>
    <row r="109" spans="1:12" ht="12" customHeight="1">
      <c r="A109" s="425" t="s">
        <v>500</v>
      </c>
      <c r="B109" s="425"/>
      <c r="C109" s="943"/>
      <c r="D109" s="1272"/>
      <c r="E109" s="1272"/>
      <c r="F109" s="1272"/>
      <c r="G109" s="1272"/>
      <c r="H109" s="1272"/>
      <c r="I109" s="1272"/>
      <c r="J109" s="1272"/>
      <c r="K109" s="425"/>
      <c r="L109" s="418"/>
    </row>
    <row r="110" spans="1:12" ht="12" customHeight="1">
      <c r="A110" s="425" t="s">
        <v>501</v>
      </c>
      <c r="B110" s="425"/>
      <c r="C110" s="419" t="s">
        <v>509</v>
      </c>
      <c r="D110" s="1260">
        <f>'T3 ANSP'!D110+'T3 MET'!D110+'T3 NSA'!D110</f>
        <v>0</v>
      </c>
      <c r="E110" s="1261">
        <f>'T3 ANSP'!E110+'T3 MET'!E110+'T3 NSA'!E110</f>
        <v>0</v>
      </c>
      <c r="F110" s="1304">
        <f>'T3 ANSP'!F110+'T3 MET'!F110+'T3 NSA'!F110</f>
        <v>0</v>
      </c>
      <c r="G110" s="1263">
        <f>'T3 ANSP'!G110+'T3 MET'!G110+'T3 NSA'!G110</f>
        <v>0</v>
      </c>
      <c r="H110" s="1314">
        <f>'T3 ANSP'!H110+'T3 MET'!H110+'T3 NSA'!H110</f>
        <v>0</v>
      </c>
      <c r="I110" s="1314">
        <f>'T3 ANSP'!I110+'T3 MET'!I110+'T3 NSA'!I110</f>
        <v>0</v>
      </c>
      <c r="J110" s="1265">
        <f>'T3 ANSP'!J110+'T3 MET'!J110+'T3 NSA'!J110</f>
        <v>0</v>
      </c>
      <c r="L110" s="418"/>
    </row>
    <row r="111" spans="1:12" ht="12" customHeight="1">
      <c r="A111" s="425">
        <v>2022</v>
      </c>
      <c r="B111" s="425"/>
      <c r="C111" s="419" t="s">
        <v>299</v>
      </c>
      <c r="D111" s="1260">
        <f>'T3 ANSP'!D111+'T3 MET'!D111+'T3 NSA'!D111</f>
        <v>0</v>
      </c>
      <c r="E111" s="1261">
        <f>'T3 ANSP'!E111+'T3 MET'!E111+'T3 NSA'!E111</f>
        <v>0</v>
      </c>
      <c r="F111" s="1304">
        <f>'T3 ANSP'!F111+'T3 MET'!F111+'T3 NSA'!F111</f>
        <v>0</v>
      </c>
      <c r="G111" s="1263">
        <f>'T3 ANSP'!G111+'T3 MET'!G111+'T3 NSA'!G111</f>
        <v>0</v>
      </c>
      <c r="H111" s="1263">
        <f>'T3 ANSP'!H111+'T3 MET'!H111+'T3 NSA'!H111</f>
        <v>0</v>
      </c>
      <c r="I111" s="1305">
        <f>'T3 ANSP'!I111+'T3 MET'!I111+'T3 NSA'!I111</f>
        <v>0</v>
      </c>
      <c r="J111" s="1265">
        <f>'T3 ANSP'!J111+'T3 MET'!J111+'T3 NSA'!J111</f>
        <v>0</v>
      </c>
      <c r="L111" s="418"/>
    </row>
    <row r="112" spans="1:12" ht="12" customHeight="1">
      <c r="A112" s="425">
        <v>2023</v>
      </c>
      <c r="B112" s="425"/>
      <c r="C112" s="419" t="s">
        <v>300</v>
      </c>
      <c r="D112" s="1260">
        <f>'T3 ANSP'!D112+'T3 MET'!D112+'T3 NSA'!D112</f>
        <v>0</v>
      </c>
      <c r="E112" s="1261">
        <f>'T3 ANSP'!E112+'T3 MET'!E112+'T3 NSA'!E112</f>
        <v>0</v>
      </c>
      <c r="F112" s="1304">
        <f>'T3 ANSP'!F112+'T3 MET'!F112+'T3 NSA'!F112</f>
        <v>0</v>
      </c>
      <c r="G112" s="1263">
        <f>'T3 ANSP'!G112+'T3 MET'!G112+'T3 NSA'!G112</f>
        <v>0</v>
      </c>
      <c r="H112" s="1263">
        <f>'T3 ANSP'!H112+'T3 MET'!H112+'T3 NSA'!H112</f>
        <v>0</v>
      </c>
      <c r="I112" s="1264">
        <f>'T3 ANSP'!I112+'T3 MET'!I112+'T3 NSA'!I112</f>
        <v>0</v>
      </c>
      <c r="J112" s="1326">
        <f>'T3 ANSP'!J112+'T3 MET'!J112+'T3 NSA'!J112</f>
        <v>0</v>
      </c>
      <c r="L112" s="418"/>
    </row>
    <row r="113" spans="1:12" ht="12" customHeight="1">
      <c r="A113" s="425">
        <v>2024</v>
      </c>
      <c r="B113" s="425"/>
      <c r="C113" s="421" t="s">
        <v>301</v>
      </c>
      <c r="D113" s="1322">
        <f>'T3 ANSP'!D113+'T3 MET'!D113+'T3 NSA'!D113</f>
        <v>0</v>
      </c>
      <c r="E113" s="1307">
        <f>'T3 ANSP'!E113+'T3 MET'!E113+'T3 NSA'!E113</f>
        <v>0</v>
      </c>
      <c r="F113" s="1308">
        <f>'T3 ANSP'!F113+'T3 MET'!F113+'T3 NSA'!F113</f>
        <v>0</v>
      </c>
      <c r="G113" s="1308">
        <f>'T3 ANSP'!G113+'T3 MET'!G113+'T3 NSA'!G113</f>
        <v>0</v>
      </c>
      <c r="H113" s="1308">
        <f>'T3 ANSP'!H113+'T3 MET'!H113+'T3 NSA'!H113</f>
        <v>0</v>
      </c>
      <c r="I113" s="1382">
        <f>'T3 ANSP'!I113+'T3 MET'!I113+'T3 NSA'!I113</f>
        <v>0</v>
      </c>
      <c r="J113" s="1327">
        <f>'T3 ANSP'!J113+'T3 MET'!J113+'T3 NSA'!J113</f>
        <v>0</v>
      </c>
      <c r="L113" s="418"/>
    </row>
    <row r="114" spans="1:12" ht="12" customHeight="1">
      <c r="A114" s="425" t="s">
        <v>237</v>
      </c>
      <c r="B114" s="425"/>
      <c r="C114" s="422" t="s">
        <v>302</v>
      </c>
      <c r="D114" s="1280">
        <f>'T3 ANSP'!D114+'T3 MET'!D114+'T3 NSA'!D114</f>
        <v>71282.636223492926</v>
      </c>
      <c r="E114" s="1281">
        <f>'T3 ANSP'!E114+'T3 MET'!E114+'T3 NSA'!E114</f>
        <v>5958.1626099087362</v>
      </c>
      <c r="F114" s="1282">
        <f>'T3 ANSP'!F114+'T3 MET'!F114+'T3 NSA'!F114</f>
        <v>8949.8365949817271</v>
      </c>
      <c r="G114" s="1282">
        <f>'T3 ANSP'!G114+'T3 MET'!G114+'T3 NSA'!G114</f>
        <v>25426.390125546048</v>
      </c>
      <c r="H114" s="1282">
        <f>'T3 ANSP'!H114+'T3 MET'!H114+'T3 NSA'!H114</f>
        <v>30948.24689305641</v>
      </c>
      <c r="I114" s="1283">
        <f>'T3 ANSP'!I114+'T3 MET'!I114+'T3 NSA'!I114</f>
        <v>0</v>
      </c>
      <c r="J114" s="1280">
        <f>'T3 ANSP'!J114+'T3 MET'!J114+'T3 NSA'!J114</f>
        <v>0</v>
      </c>
      <c r="L114" s="418"/>
    </row>
    <row r="115" spans="1:12" ht="4.3499999999999996" customHeight="1">
      <c r="A115" s="540"/>
      <c r="B115" s="540"/>
      <c r="I115" s="1385"/>
      <c r="L115" s="418"/>
    </row>
    <row r="116" spans="1:12" ht="12" customHeight="1">
      <c r="A116" s="425">
        <v>2017</v>
      </c>
      <c r="B116" s="425"/>
      <c r="C116" s="417" t="s">
        <v>303</v>
      </c>
      <c r="D116" s="1254">
        <f>'T3 ANSP'!D116+'T3 MET'!D116+'T3 NSA'!D116</f>
        <v>0</v>
      </c>
      <c r="E116" s="1312">
        <f>'T3 ANSP'!E116+'T3 MET'!E116+'T3 NSA'!E116</f>
        <v>0</v>
      </c>
      <c r="F116" s="1303">
        <f>'T3 ANSP'!F116+'T3 MET'!F116+'T3 NSA'!F116</f>
        <v>0</v>
      </c>
      <c r="G116" s="1303">
        <f>'T3 ANSP'!G116+'T3 MET'!G116+'T3 NSA'!G116</f>
        <v>0</v>
      </c>
      <c r="H116" s="1303">
        <f>'T3 ANSP'!H116+'T3 MET'!H116+'T3 NSA'!H116</f>
        <v>0</v>
      </c>
      <c r="I116" s="1319">
        <f>'T3 ANSP'!I116+'T3 MET'!I116+'T3 NSA'!I116</f>
        <v>0</v>
      </c>
      <c r="J116" s="1254">
        <f>'T3 ANSP'!J116+'T3 MET'!J116+'T3 NSA'!J116</f>
        <v>0</v>
      </c>
      <c r="L116" s="418"/>
    </row>
    <row r="117" spans="1:12" ht="12" customHeight="1">
      <c r="A117" s="425">
        <v>2018</v>
      </c>
      <c r="B117" s="425"/>
      <c r="C117" s="419" t="s">
        <v>304</v>
      </c>
      <c r="D117" s="1260">
        <f>'T3 ANSP'!D117+'T3 MET'!D117+'T3 NSA'!D117</f>
        <v>0</v>
      </c>
      <c r="E117" s="1313">
        <f>'T3 ANSP'!E117+'T3 MET'!E117+'T3 NSA'!E117</f>
        <v>0</v>
      </c>
      <c r="F117" s="1314">
        <f>'T3 ANSP'!F117+'T3 MET'!F117+'T3 NSA'!F117</f>
        <v>0</v>
      </c>
      <c r="G117" s="1314">
        <f>'T3 ANSP'!G117+'T3 MET'!G117+'T3 NSA'!G117</f>
        <v>0</v>
      </c>
      <c r="H117" s="1314">
        <f>'T3 ANSP'!H117+'T3 MET'!H117+'T3 NSA'!H117</f>
        <v>0</v>
      </c>
      <c r="I117" s="1305">
        <f>'T3 ANSP'!I117+'T3 MET'!I117+'T3 NSA'!I117</f>
        <v>0</v>
      </c>
      <c r="J117" s="1260">
        <f>'T3 ANSP'!J117+'T3 MET'!J117+'T3 NSA'!J117</f>
        <v>0</v>
      </c>
      <c r="L117" s="418"/>
    </row>
    <row r="118" spans="1:12" ht="12" customHeight="1">
      <c r="A118" s="425">
        <v>2019</v>
      </c>
      <c r="B118" s="425"/>
      <c r="C118" s="419" t="s">
        <v>305</v>
      </c>
      <c r="D118" s="1322">
        <f>'T3 ANSP'!D118+'T3 MET'!D118+'T3 NSA'!D118</f>
        <v>0</v>
      </c>
      <c r="E118" s="1313">
        <f>'T3 ANSP'!E118+'T3 MET'!E118+'T3 NSA'!E118</f>
        <v>0</v>
      </c>
      <c r="F118" s="1362">
        <f>'T3 ANSP'!F118+'T3 MET'!F118+'T3 NSA'!F118</f>
        <v>0</v>
      </c>
      <c r="G118" s="1362">
        <f>'T3 ANSP'!G118+'T3 MET'!G118+'T3 NSA'!G118</f>
        <v>0</v>
      </c>
      <c r="H118" s="1362">
        <f>'T3 ANSP'!H118+'T3 MET'!H118+'T3 NSA'!H118</f>
        <v>0</v>
      </c>
      <c r="I118" s="1363">
        <f>'T3 ANSP'!I118+'T3 MET'!I118+'T3 NSA'!I118</f>
        <v>0</v>
      </c>
      <c r="J118" s="1322">
        <f>'T3 ANSP'!J118+'T3 MET'!J118+'T3 NSA'!J118</f>
        <v>0</v>
      </c>
      <c r="L118" s="418"/>
    </row>
    <row r="119" spans="1:12" ht="12" customHeight="1">
      <c r="A119" s="425" t="s">
        <v>232</v>
      </c>
      <c r="B119" s="425"/>
      <c r="C119" s="556" t="s">
        <v>306</v>
      </c>
      <c r="D119" s="1266">
        <f>'T3 ANSP'!D119+'T3 MET'!D119+'T3 NSA'!D119</f>
        <v>0</v>
      </c>
      <c r="E119" s="1325">
        <f>'T3 ANSP'!E119+'T3 MET'!E119+'T3 NSA'!E119</f>
        <v>0</v>
      </c>
      <c r="F119" s="1268">
        <f>'T3 ANSP'!F119+'T3 MET'!F119+'T3 NSA'!F119</f>
        <v>0</v>
      </c>
      <c r="G119" s="1268">
        <f>'T3 ANSP'!G119+'T3 MET'!G119+'T3 NSA'!G119</f>
        <v>0</v>
      </c>
      <c r="H119" s="1268">
        <f>'T3 ANSP'!H119+'T3 MET'!H119+'T3 NSA'!H119</f>
        <v>0</v>
      </c>
      <c r="I119" s="1320">
        <f>'T3 ANSP'!I119+'T3 MET'!I119+'T3 NSA'!I119</f>
        <v>0</v>
      </c>
      <c r="J119" s="1266">
        <f>'T3 ANSP'!J119+'T3 MET'!J119+'T3 NSA'!J119</f>
        <v>0</v>
      </c>
      <c r="L119" s="418"/>
    </row>
    <row r="120" spans="1:12" ht="12" customHeight="1">
      <c r="A120" s="425" t="s">
        <v>500</v>
      </c>
      <c r="B120" s="425"/>
      <c r="C120" s="943"/>
      <c r="D120" s="1272"/>
      <c r="E120" s="1272"/>
      <c r="F120" s="1272"/>
      <c r="G120" s="1272"/>
      <c r="H120" s="1272"/>
      <c r="I120" s="1272"/>
      <c r="J120" s="1272"/>
      <c r="K120" s="425"/>
      <c r="L120" s="418"/>
    </row>
    <row r="121" spans="1:12" ht="12" customHeight="1">
      <c r="A121" s="425" t="s">
        <v>501</v>
      </c>
      <c r="B121" s="425"/>
      <c r="C121" s="419" t="s">
        <v>516</v>
      </c>
      <c r="D121" s="1260">
        <f>'T3 ANSP'!D121+'T3 MET'!D121+'T3 NSA'!D121</f>
        <v>0</v>
      </c>
      <c r="E121" s="1313">
        <f>'T3 ANSP'!E121+'T3 MET'!E121+'T3 NSA'!E121</f>
        <v>0</v>
      </c>
      <c r="F121" s="1314">
        <f>'T3 ANSP'!F121+'T3 MET'!F121+'T3 NSA'!F121</f>
        <v>0</v>
      </c>
      <c r="G121" s="1314">
        <f>'T3 ANSP'!G121+'T3 MET'!G121+'T3 NSA'!G121</f>
        <v>0</v>
      </c>
      <c r="H121" s="1314">
        <f>'T3 ANSP'!H121+'T3 MET'!H121+'T3 NSA'!H121</f>
        <v>0</v>
      </c>
      <c r="I121" s="1305">
        <f>'T3 ANSP'!I121+'T3 MET'!I121+'T3 NSA'!I121</f>
        <v>0</v>
      </c>
      <c r="J121" s="1260">
        <f>'T3 ANSP'!J121+'T3 MET'!J121+'T3 NSA'!J121</f>
        <v>0</v>
      </c>
      <c r="L121" s="418"/>
    </row>
    <row r="122" spans="1:12" ht="12" customHeight="1">
      <c r="A122" s="425">
        <v>2022</v>
      </c>
      <c r="B122" s="425"/>
      <c r="C122" s="419" t="s">
        <v>307</v>
      </c>
      <c r="D122" s="1260">
        <f>'T3 ANSP'!D122+'T3 MET'!D122+'T3 NSA'!D122</f>
        <v>0</v>
      </c>
      <c r="E122" s="1273">
        <f>'T3 ANSP'!E122+'T3 MET'!E122+'T3 NSA'!E122</f>
        <v>0</v>
      </c>
      <c r="F122" s="1263">
        <f>'T3 ANSP'!F122+'T3 MET'!F122+'T3 NSA'!F122</f>
        <v>0</v>
      </c>
      <c r="G122" s="1314">
        <f>'T3 ANSP'!G122+'T3 MET'!G122+'T3 NSA'!G122</f>
        <v>0</v>
      </c>
      <c r="H122" s="1314">
        <f>'T3 ANSP'!H122+'T3 MET'!H122+'T3 NSA'!H122</f>
        <v>0</v>
      </c>
      <c r="I122" s="1305">
        <f>'T3 ANSP'!I122+'T3 MET'!I122+'T3 NSA'!I122</f>
        <v>0</v>
      </c>
      <c r="J122" s="1260">
        <f>'T3 ANSP'!J122+'T3 MET'!J122+'T3 NSA'!J122</f>
        <v>0</v>
      </c>
      <c r="L122" s="418"/>
    </row>
    <row r="123" spans="1:12" ht="12" customHeight="1">
      <c r="A123" s="425">
        <v>2023</v>
      </c>
      <c r="B123" s="425"/>
      <c r="C123" s="419" t="s">
        <v>308</v>
      </c>
      <c r="D123" s="1260">
        <f>'T3 ANSP'!D123+'T3 MET'!D123+'T3 NSA'!D123</f>
        <v>0</v>
      </c>
      <c r="E123" s="1273">
        <f>'T3 ANSP'!E123+'T3 MET'!E123+'T3 NSA'!E123</f>
        <v>0</v>
      </c>
      <c r="F123" s="1263">
        <f>'T3 ANSP'!F123+'T3 MET'!F123+'T3 NSA'!F123</f>
        <v>0</v>
      </c>
      <c r="G123" s="1263">
        <f>'T3 ANSP'!G123+'T3 MET'!G123+'T3 NSA'!G123</f>
        <v>0</v>
      </c>
      <c r="H123" s="1314">
        <f>'T3 ANSP'!H123+'T3 MET'!H123+'T3 NSA'!H123</f>
        <v>0</v>
      </c>
      <c r="I123" s="1305">
        <f>'T3 ANSP'!I123+'T3 MET'!I123+'T3 NSA'!I123</f>
        <v>0</v>
      </c>
      <c r="J123" s="1260">
        <f>'T3 ANSP'!J123+'T3 MET'!J123+'T3 NSA'!J123</f>
        <v>0</v>
      </c>
      <c r="L123" s="418"/>
    </row>
    <row r="124" spans="1:12" ht="12" customHeight="1">
      <c r="A124" s="425">
        <v>2024</v>
      </c>
      <c r="B124" s="425"/>
      <c r="C124" s="421" t="s">
        <v>309</v>
      </c>
      <c r="D124" s="1322">
        <f>'T3 ANSP'!D124+'T3 MET'!D124+'T3 NSA'!D124</f>
        <v>0</v>
      </c>
      <c r="E124" s="1276">
        <f>'T3 ANSP'!E124+'T3 MET'!E124+'T3 NSA'!E124</f>
        <v>0</v>
      </c>
      <c r="F124" s="1277">
        <f>'T3 ANSP'!F124+'T3 MET'!F124+'T3 NSA'!F124</f>
        <v>0</v>
      </c>
      <c r="G124" s="1277">
        <f>'T3 ANSP'!G124+'T3 MET'!G124+'T3 NSA'!G124</f>
        <v>0</v>
      </c>
      <c r="H124" s="1277">
        <f>'T3 ANSP'!H124+'T3 MET'!H124+'T3 NSA'!H124</f>
        <v>0</v>
      </c>
      <c r="I124" s="1305">
        <f>'T3 ANSP'!I124+'T3 MET'!I124+'T3 NSA'!I124</f>
        <v>0</v>
      </c>
      <c r="J124" s="1260">
        <f>'T3 ANSP'!J124+'T3 MET'!J124+'T3 NSA'!J124</f>
        <v>0</v>
      </c>
      <c r="L124" s="418"/>
    </row>
    <row r="125" spans="1:12" ht="12" customHeight="1">
      <c r="A125" s="425" t="s">
        <v>237</v>
      </c>
      <c r="B125" s="425"/>
      <c r="C125" s="422" t="s">
        <v>310</v>
      </c>
      <c r="D125" s="1280">
        <f>'T3 ANSP'!D125+'T3 MET'!D125+'T3 NSA'!D125</f>
        <v>0</v>
      </c>
      <c r="E125" s="1281">
        <f>'T3 ANSP'!E125+'T3 MET'!E125+'T3 NSA'!E125</f>
        <v>0</v>
      </c>
      <c r="F125" s="1282">
        <f>'T3 ANSP'!F125+'T3 MET'!F125+'T3 NSA'!F125</f>
        <v>0</v>
      </c>
      <c r="G125" s="1282">
        <f>'T3 ANSP'!G125+'T3 MET'!G125+'T3 NSA'!G125</f>
        <v>0</v>
      </c>
      <c r="H125" s="1282">
        <f>'T3 ANSP'!H125+'T3 MET'!H125+'T3 NSA'!H125</f>
        <v>0</v>
      </c>
      <c r="I125" s="1283">
        <f>'T3 ANSP'!I125+'T3 MET'!I125+'T3 NSA'!I125</f>
        <v>0</v>
      </c>
      <c r="J125" s="1280">
        <f>'T3 ANSP'!J125+'T3 MET'!J125+'T3 NSA'!J125</f>
        <v>0</v>
      </c>
      <c r="L125" s="418"/>
    </row>
    <row r="126" spans="1:12" ht="4.3499999999999996" customHeight="1">
      <c r="A126" s="540"/>
      <c r="B126" s="540"/>
      <c r="I126" s="1385"/>
      <c r="L126" s="418"/>
    </row>
    <row r="127" spans="1:12" ht="12" customHeight="1">
      <c r="A127" s="425">
        <v>2017</v>
      </c>
      <c r="B127" s="425"/>
      <c r="C127" s="417" t="s">
        <v>311</v>
      </c>
      <c r="D127" s="1254">
        <f>'T3 ANSP'!D127+'T3 MET'!D127+'T3 NSA'!D127</f>
        <v>0</v>
      </c>
      <c r="E127" s="1312">
        <f>'T3 ANSP'!E127+'T3 MET'!E127+'T3 NSA'!E127</f>
        <v>0</v>
      </c>
      <c r="F127" s="1303">
        <f>'T3 ANSP'!F127+'T3 MET'!F127+'T3 NSA'!F127</f>
        <v>0</v>
      </c>
      <c r="G127" s="1303">
        <f>'T3 ANSP'!G127+'T3 MET'!G127+'T3 NSA'!G127</f>
        <v>0</v>
      </c>
      <c r="H127" s="1303">
        <f>'T3 ANSP'!H127+'T3 MET'!H127+'T3 NSA'!H127</f>
        <v>0</v>
      </c>
      <c r="I127" s="1319">
        <f>'T3 ANSP'!I127+'T3 MET'!I127+'T3 NSA'!I127</f>
        <v>0</v>
      </c>
      <c r="J127" s="1254">
        <f>'T3 ANSP'!J127+'T3 MET'!J127+'T3 NSA'!J127</f>
        <v>0</v>
      </c>
      <c r="L127" s="418"/>
    </row>
    <row r="128" spans="1:12" ht="12" customHeight="1">
      <c r="A128" s="425">
        <v>2018</v>
      </c>
      <c r="B128" s="425"/>
      <c r="C128" s="419" t="s">
        <v>312</v>
      </c>
      <c r="D128" s="1260">
        <f>'T3 ANSP'!D128+'T3 MET'!D128+'T3 NSA'!D128</f>
        <v>0</v>
      </c>
      <c r="E128" s="1313">
        <f>'T3 ANSP'!E128+'T3 MET'!E128+'T3 NSA'!E128</f>
        <v>0</v>
      </c>
      <c r="F128" s="1314">
        <f>'T3 ANSP'!F128+'T3 MET'!F128+'T3 NSA'!F128</f>
        <v>0</v>
      </c>
      <c r="G128" s="1314">
        <f>'T3 ANSP'!G128+'T3 MET'!G128+'T3 NSA'!G128</f>
        <v>0</v>
      </c>
      <c r="H128" s="1314">
        <f>'T3 ANSP'!H128+'T3 MET'!H128+'T3 NSA'!H128</f>
        <v>0</v>
      </c>
      <c r="I128" s="1305">
        <f>'T3 ANSP'!I128+'T3 MET'!I128+'T3 NSA'!I128</f>
        <v>0</v>
      </c>
      <c r="J128" s="1260">
        <f>'T3 ANSP'!J128+'T3 MET'!J128+'T3 NSA'!J128</f>
        <v>0</v>
      </c>
      <c r="L128" s="418"/>
    </row>
    <row r="129" spans="1:12" ht="12" customHeight="1">
      <c r="A129" s="425">
        <v>2019</v>
      </c>
      <c r="B129" s="425"/>
      <c r="C129" s="419" t="s">
        <v>313</v>
      </c>
      <c r="D129" s="1322">
        <f>'T3 ANSP'!D129+'T3 MET'!D129+'T3 NSA'!D129</f>
        <v>0</v>
      </c>
      <c r="E129" s="1313">
        <f>'T3 ANSP'!E129+'T3 MET'!E129+'T3 NSA'!E129</f>
        <v>0</v>
      </c>
      <c r="F129" s="1362">
        <f>'T3 ANSP'!F129+'T3 MET'!F129+'T3 NSA'!F129</f>
        <v>0</v>
      </c>
      <c r="G129" s="1362">
        <f>'T3 ANSP'!G129+'T3 MET'!G129+'T3 NSA'!G129</f>
        <v>0</v>
      </c>
      <c r="H129" s="1362">
        <f>'T3 ANSP'!H129+'T3 MET'!H129+'T3 NSA'!H129</f>
        <v>0</v>
      </c>
      <c r="I129" s="1363">
        <f>'T3 ANSP'!I129+'T3 MET'!I129+'T3 NSA'!I129</f>
        <v>0</v>
      </c>
      <c r="J129" s="1322">
        <f>'T3 ANSP'!J129+'T3 MET'!J129+'T3 NSA'!J129</f>
        <v>0</v>
      </c>
      <c r="L129" s="418"/>
    </row>
    <row r="130" spans="1:12" ht="12" customHeight="1">
      <c r="A130" s="425" t="s">
        <v>232</v>
      </c>
      <c r="B130" s="425"/>
      <c r="C130" s="556" t="s">
        <v>314</v>
      </c>
      <c r="D130" s="1266">
        <f>'T3 ANSP'!D130+'T3 MET'!D130+'T3 NSA'!D130</f>
        <v>0</v>
      </c>
      <c r="E130" s="1325">
        <f>'T3 ANSP'!E130+'T3 MET'!E130+'T3 NSA'!E130</f>
        <v>0</v>
      </c>
      <c r="F130" s="1268">
        <f>'T3 ANSP'!F130+'T3 MET'!F130+'T3 NSA'!F130</f>
        <v>0</v>
      </c>
      <c r="G130" s="1268">
        <f>'T3 ANSP'!G130+'T3 MET'!G130+'T3 NSA'!G130</f>
        <v>0</v>
      </c>
      <c r="H130" s="1268">
        <f>'T3 ANSP'!H130+'T3 MET'!H130+'T3 NSA'!H130</f>
        <v>0</v>
      </c>
      <c r="I130" s="1320">
        <f>'T3 ANSP'!I130+'T3 MET'!I130+'T3 NSA'!I130</f>
        <v>0</v>
      </c>
      <c r="J130" s="1266">
        <f>'T3 ANSP'!J130+'T3 MET'!J130+'T3 NSA'!J130</f>
        <v>0</v>
      </c>
      <c r="L130" s="418"/>
    </row>
    <row r="131" spans="1:12" ht="12" customHeight="1">
      <c r="A131" s="425" t="s">
        <v>500</v>
      </c>
      <c r="B131" s="425"/>
      <c r="C131" s="943"/>
      <c r="D131" s="1272"/>
      <c r="E131" s="1272"/>
      <c r="F131" s="1272"/>
      <c r="G131" s="1272"/>
      <c r="H131" s="1272"/>
      <c r="I131" s="1272"/>
      <c r="J131" s="1272"/>
      <c r="K131" s="425"/>
      <c r="L131" s="418"/>
    </row>
    <row r="132" spans="1:12" ht="12" customHeight="1">
      <c r="A132" s="425" t="s">
        <v>501</v>
      </c>
      <c r="B132" s="425"/>
      <c r="C132" s="419" t="s">
        <v>515</v>
      </c>
      <c r="D132" s="1260">
        <f>'T3 ANSP'!D132+'T3 MET'!D132+'T3 NSA'!D132</f>
        <v>0</v>
      </c>
      <c r="E132" s="1313">
        <f>'T3 ANSP'!E132+'T3 MET'!E132+'T3 NSA'!E132</f>
        <v>0</v>
      </c>
      <c r="F132" s="1314">
        <f>'T3 ANSP'!F132+'T3 MET'!F132+'T3 NSA'!F132</f>
        <v>0</v>
      </c>
      <c r="G132" s="1314">
        <f>'T3 ANSP'!G132+'T3 MET'!G132+'T3 NSA'!G132</f>
        <v>0</v>
      </c>
      <c r="H132" s="1314">
        <f>'T3 ANSP'!H132+'T3 MET'!H132+'T3 NSA'!H132</f>
        <v>0</v>
      </c>
      <c r="I132" s="1305">
        <f>'T3 ANSP'!I132+'T3 MET'!I132+'T3 NSA'!I132</f>
        <v>0</v>
      </c>
      <c r="J132" s="1260">
        <f>'T3 ANSP'!J132+'T3 MET'!J132+'T3 NSA'!J132</f>
        <v>0</v>
      </c>
      <c r="L132" s="418"/>
    </row>
    <row r="133" spans="1:12" ht="12" customHeight="1">
      <c r="A133" s="425">
        <v>2022</v>
      </c>
      <c r="B133" s="425"/>
      <c r="C133" s="419" t="s">
        <v>315</v>
      </c>
      <c r="D133" s="1260">
        <f>'T3 ANSP'!D133+'T3 MET'!D133+'T3 NSA'!D133</f>
        <v>0</v>
      </c>
      <c r="E133" s="1273">
        <f>'T3 ANSP'!E133+'T3 MET'!E133+'T3 NSA'!E133</f>
        <v>0</v>
      </c>
      <c r="F133" s="1263">
        <f>'T3 ANSP'!F133+'T3 MET'!F133+'T3 NSA'!F133</f>
        <v>0</v>
      </c>
      <c r="G133" s="1314">
        <f>'T3 ANSP'!G133+'T3 MET'!G133+'T3 NSA'!G133</f>
        <v>0</v>
      </c>
      <c r="H133" s="1314">
        <f>'T3 ANSP'!H133+'T3 MET'!H133+'T3 NSA'!H133</f>
        <v>0</v>
      </c>
      <c r="I133" s="1305">
        <f>'T3 ANSP'!I133+'T3 MET'!I133+'T3 NSA'!I133</f>
        <v>0</v>
      </c>
      <c r="J133" s="1260">
        <f>'T3 ANSP'!J133+'T3 MET'!J133+'T3 NSA'!J133</f>
        <v>0</v>
      </c>
      <c r="L133" s="418"/>
    </row>
    <row r="134" spans="1:12" ht="12" customHeight="1">
      <c r="A134" s="425">
        <v>2023</v>
      </c>
      <c r="B134" s="425"/>
      <c r="C134" s="419" t="s">
        <v>316</v>
      </c>
      <c r="D134" s="1260">
        <f>'T3 ANSP'!D134+'T3 MET'!D134+'T3 NSA'!D134</f>
        <v>0</v>
      </c>
      <c r="E134" s="1273">
        <f>'T3 ANSP'!E134+'T3 MET'!E134+'T3 NSA'!E134</f>
        <v>0</v>
      </c>
      <c r="F134" s="1263">
        <f>'T3 ANSP'!F134+'T3 MET'!F134+'T3 NSA'!F134</f>
        <v>0</v>
      </c>
      <c r="G134" s="1263">
        <f>'T3 ANSP'!G134+'T3 MET'!G134+'T3 NSA'!G134</f>
        <v>0</v>
      </c>
      <c r="H134" s="1314">
        <f>'T3 ANSP'!H134+'T3 MET'!H134+'T3 NSA'!H134</f>
        <v>0</v>
      </c>
      <c r="I134" s="1305">
        <f>'T3 ANSP'!I134+'T3 MET'!I134+'T3 NSA'!I134</f>
        <v>0</v>
      </c>
      <c r="J134" s="1260">
        <f>'T3 ANSP'!J134+'T3 MET'!J134+'T3 NSA'!J134</f>
        <v>0</v>
      </c>
      <c r="L134" s="418"/>
    </row>
    <row r="135" spans="1:12" ht="12" customHeight="1">
      <c r="A135" s="425">
        <v>2024</v>
      </c>
      <c r="B135" s="425"/>
      <c r="C135" s="421" t="s">
        <v>317</v>
      </c>
      <c r="D135" s="1322">
        <f>'T3 ANSP'!D135+'T3 MET'!D135+'T3 NSA'!D135</f>
        <v>0</v>
      </c>
      <c r="E135" s="1276">
        <f>'T3 ANSP'!E135+'T3 MET'!E135+'T3 NSA'!E135</f>
        <v>0</v>
      </c>
      <c r="F135" s="1277">
        <f>'T3 ANSP'!F135+'T3 MET'!F135+'T3 NSA'!F135</f>
        <v>0</v>
      </c>
      <c r="G135" s="1277">
        <f>'T3 ANSP'!G135+'T3 MET'!G135+'T3 NSA'!G135</f>
        <v>0</v>
      </c>
      <c r="H135" s="1277">
        <f>'T3 ANSP'!H135+'T3 MET'!H135+'T3 NSA'!H135</f>
        <v>0</v>
      </c>
      <c r="I135" s="1305">
        <f>'T3 ANSP'!I135+'T3 MET'!I135+'T3 NSA'!I135</f>
        <v>0</v>
      </c>
      <c r="J135" s="1260">
        <f>'T3 ANSP'!J135+'T3 MET'!J135+'T3 NSA'!J135</f>
        <v>0</v>
      </c>
      <c r="L135" s="418"/>
    </row>
    <row r="136" spans="1:12" ht="12" customHeight="1">
      <c r="A136" s="425" t="s">
        <v>237</v>
      </c>
      <c r="B136" s="425"/>
      <c r="C136" s="422" t="s">
        <v>318</v>
      </c>
      <c r="D136" s="1280">
        <f>'T3 ANSP'!D136+'T3 MET'!D136+'T3 NSA'!D136</f>
        <v>0</v>
      </c>
      <c r="E136" s="1281">
        <f>'T3 ANSP'!E136+'T3 MET'!E136+'T3 NSA'!E136</f>
        <v>0</v>
      </c>
      <c r="F136" s="1282">
        <f>'T3 ANSP'!F136+'T3 MET'!F136+'T3 NSA'!F136</f>
        <v>0</v>
      </c>
      <c r="G136" s="1282">
        <f>'T3 ANSP'!G136+'T3 MET'!G136+'T3 NSA'!G136</f>
        <v>0</v>
      </c>
      <c r="H136" s="1282">
        <f>'T3 ANSP'!H136+'T3 MET'!H136+'T3 NSA'!H136</f>
        <v>0</v>
      </c>
      <c r="I136" s="1283">
        <f>'T3 ANSP'!I136+'T3 MET'!I136+'T3 NSA'!I136</f>
        <v>0</v>
      </c>
      <c r="J136" s="1280">
        <f>'T3 ANSP'!J136+'T3 MET'!J136+'T3 NSA'!J136</f>
        <v>0</v>
      </c>
      <c r="L136" s="418"/>
    </row>
    <row r="137" spans="1:12" ht="4.3499999999999996" customHeight="1">
      <c r="A137" s="540"/>
      <c r="B137" s="540"/>
      <c r="I137" s="1385"/>
      <c r="L137" s="418"/>
    </row>
    <row r="138" spans="1:12" ht="12" customHeight="1">
      <c r="A138" s="425">
        <v>2017</v>
      </c>
      <c r="B138" s="425"/>
      <c r="C138" s="417" t="s">
        <v>319</v>
      </c>
      <c r="D138" s="1254">
        <f>'T3 ANSP'!D138+'T3 MET'!D138+'T3 NSA'!D138</f>
        <v>0</v>
      </c>
      <c r="E138" s="1312">
        <f>'T3 ANSP'!E138+'T3 MET'!E138+'T3 NSA'!E138</f>
        <v>0</v>
      </c>
      <c r="F138" s="1303">
        <f>'T3 ANSP'!F138+'T3 MET'!F138+'T3 NSA'!F138</f>
        <v>0</v>
      </c>
      <c r="G138" s="1303">
        <f>'T3 ANSP'!G138+'T3 MET'!G138+'T3 NSA'!G138</f>
        <v>0</v>
      </c>
      <c r="H138" s="1303">
        <f>'T3 ANSP'!H138+'T3 MET'!H138+'T3 NSA'!H138</f>
        <v>0</v>
      </c>
      <c r="I138" s="1319">
        <f>'T3 ANSP'!I138+'T3 MET'!I138+'T3 NSA'!I138</f>
        <v>0</v>
      </c>
      <c r="J138" s="1254">
        <f>'T3 ANSP'!J138+'T3 MET'!J138+'T3 NSA'!J138</f>
        <v>0</v>
      </c>
      <c r="L138" s="418"/>
    </row>
    <row r="139" spans="1:12" ht="12" customHeight="1">
      <c r="A139" s="425">
        <v>2018</v>
      </c>
      <c r="B139" s="425"/>
      <c r="C139" s="419" t="s">
        <v>320</v>
      </c>
      <c r="D139" s="1260">
        <f>'T3 ANSP'!D139+'T3 MET'!D139+'T3 NSA'!D139</f>
        <v>0</v>
      </c>
      <c r="E139" s="1313">
        <f>'T3 ANSP'!E139+'T3 MET'!E139+'T3 NSA'!E139</f>
        <v>0</v>
      </c>
      <c r="F139" s="1314">
        <f>'T3 ANSP'!F139+'T3 MET'!F139+'T3 NSA'!F139</f>
        <v>0</v>
      </c>
      <c r="G139" s="1314">
        <f>'T3 ANSP'!G139+'T3 MET'!G139+'T3 NSA'!G139</f>
        <v>0</v>
      </c>
      <c r="H139" s="1314">
        <f>'T3 ANSP'!H139+'T3 MET'!H139+'T3 NSA'!H139</f>
        <v>0</v>
      </c>
      <c r="I139" s="1305">
        <f>'T3 ANSP'!I139+'T3 MET'!I139+'T3 NSA'!I139</f>
        <v>0</v>
      </c>
      <c r="J139" s="1260">
        <f>'T3 ANSP'!J139+'T3 MET'!J139+'T3 NSA'!J139</f>
        <v>0</v>
      </c>
      <c r="L139" s="418"/>
    </row>
    <row r="140" spans="1:12" ht="12" customHeight="1">
      <c r="A140" s="425">
        <v>2019</v>
      </c>
      <c r="B140" s="425"/>
      <c r="C140" s="419" t="s">
        <v>321</v>
      </c>
      <c r="D140" s="1322">
        <f>'T3 ANSP'!D140+'T3 MET'!D140+'T3 NSA'!D140</f>
        <v>0</v>
      </c>
      <c r="E140" s="1313">
        <f>'T3 ANSP'!E140+'T3 MET'!E140+'T3 NSA'!E140</f>
        <v>0</v>
      </c>
      <c r="F140" s="1362">
        <f>'T3 ANSP'!F140+'T3 MET'!F140+'T3 NSA'!F140</f>
        <v>0</v>
      </c>
      <c r="G140" s="1362">
        <f>'T3 ANSP'!G140+'T3 MET'!G140+'T3 NSA'!G140</f>
        <v>0</v>
      </c>
      <c r="H140" s="1362">
        <f>'T3 ANSP'!H140+'T3 MET'!H140+'T3 NSA'!H140</f>
        <v>0</v>
      </c>
      <c r="I140" s="1363">
        <f>'T3 ANSP'!I140+'T3 MET'!I140+'T3 NSA'!I140</f>
        <v>0</v>
      </c>
      <c r="J140" s="1322">
        <f>'T3 ANSP'!J140+'T3 MET'!J140+'T3 NSA'!J140</f>
        <v>0</v>
      </c>
      <c r="L140" s="418"/>
    </row>
    <row r="141" spans="1:12" ht="12" customHeight="1">
      <c r="A141" s="425" t="s">
        <v>232</v>
      </c>
      <c r="B141" s="425"/>
      <c r="C141" s="556" t="s">
        <v>322</v>
      </c>
      <c r="D141" s="1266">
        <f>'T3 ANSP'!D141+'T3 MET'!D141+'T3 NSA'!D141</f>
        <v>0</v>
      </c>
      <c r="E141" s="1325">
        <f>'T3 ANSP'!E141+'T3 MET'!E141+'T3 NSA'!E141</f>
        <v>0</v>
      </c>
      <c r="F141" s="1268">
        <f>'T3 ANSP'!F141+'T3 MET'!F141+'T3 NSA'!F141</f>
        <v>0</v>
      </c>
      <c r="G141" s="1268">
        <f>'T3 ANSP'!G141+'T3 MET'!G141+'T3 NSA'!G141</f>
        <v>0</v>
      </c>
      <c r="H141" s="1268">
        <f>'T3 ANSP'!H141+'T3 MET'!H141+'T3 NSA'!H141</f>
        <v>0</v>
      </c>
      <c r="I141" s="1320">
        <f>'T3 ANSP'!I141+'T3 MET'!I141+'T3 NSA'!I141</f>
        <v>0</v>
      </c>
      <c r="J141" s="1266">
        <f>'T3 ANSP'!J141+'T3 MET'!J141+'T3 NSA'!J141</f>
        <v>0</v>
      </c>
      <c r="L141" s="418"/>
    </row>
    <row r="142" spans="1:12" ht="12" customHeight="1">
      <c r="A142" s="425" t="s">
        <v>500</v>
      </c>
      <c r="B142" s="425"/>
      <c r="C142" s="943"/>
      <c r="D142" s="1272"/>
      <c r="E142" s="1272"/>
      <c r="F142" s="1272"/>
      <c r="G142" s="1272"/>
      <c r="H142" s="1272"/>
      <c r="I142" s="1272"/>
      <c r="J142" s="1272"/>
      <c r="K142" s="425"/>
      <c r="L142" s="418"/>
    </row>
    <row r="143" spans="1:12" ht="12" customHeight="1">
      <c r="A143" s="425" t="s">
        <v>501</v>
      </c>
      <c r="B143" s="425"/>
      <c r="C143" s="419" t="s">
        <v>514</v>
      </c>
      <c r="D143" s="1260">
        <f>'T3 ANSP'!D143+'T3 MET'!D143+'T3 NSA'!D143</f>
        <v>0</v>
      </c>
      <c r="E143" s="1313">
        <f>'T3 ANSP'!E143+'T3 MET'!E143+'T3 NSA'!E143</f>
        <v>0</v>
      </c>
      <c r="F143" s="1314">
        <f>'T3 ANSP'!F143+'T3 MET'!F143+'T3 NSA'!F143</f>
        <v>0</v>
      </c>
      <c r="G143" s="1314">
        <f>'T3 ANSP'!G143+'T3 MET'!G143+'T3 NSA'!G143</f>
        <v>0</v>
      </c>
      <c r="H143" s="1314">
        <f>'T3 ANSP'!H143+'T3 MET'!H143+'T3 NSA'!H143</f>
        <v>0</v>
      </c>
      <c r="I143" s="1264">
        <f>'T3 ANSP'!I143+'T3 MET'!I143+'T3 NSA'!I143</f>
        <v>0</v>
      </c>
      <c r="J143" s="1265">
        <f>'T3 ANSP'!J143+'T3 MET'!J143+'T3 NSA'!J143</f>
        <v>0</v>
      </c>
      <c r="L143" s="418"/>
    </row>
    <row r="144" spans="1:12" ht="12" customHeight="1">
      <c r="A144" s="425">
        <v>2022</v>
      </c>
      <c r="B144" s="425"/>
      <c r="C144" s="419" t="s">
        <v>323</v>
      </c>
      <c r="D144" s="1260">
        <f>'T3 ANSP'!D144+'T3 MET'!D144+'T3 NSA'!D144</f>
        <v>0</v>
      </c>
      <c r="E144" s="1273">
        <f>'T3 ANSP'!E144+'T3 MET'!E144+'T3 NSA'!E144</f>
        <v>0</v>
      </c>
      <c r="F144" s="1263">
        <f>'T3 ANSP'!F144+'T3 MET'!F144+'T3 NSA'!F144</f>
        <v>0</v>
      </c>
      <c r="G144" s="1314">
        <f>'T3 ANSP'!G144+'T3 MET'!G144+'T3 NSA'!G144</f>
        <v>0</v>
      </c>
      <c r="H144" s="1314">
        <f>'T3 ANSP'!H144+'T3 MET'!H144+'T3 NSA'!H144</f>
        <v>0</v>
      </c>
      <c r="I144" s="1305">
        <f>'T3 ANSP'!I144+'T3 MET'!I144+'T3 NSA'!I144</f>
        <v>0</v>
      </c>
      <c r="J144" s="1265">
        <f>'T3 ANSP'!J144+'T3 MET'!J144+'T3 NSA'!J144</f>
        <v>0</v>
      </c>
      <c r="L144" s="418"/>
    </row>
    <row r="145" spans="1:12" ht="12" customHeight="1">
      <c r="A145" s="425">
        <v>2023</v>
      </c>
      <c r="B145" s="425"/>
      <c r="C145" s="419" t="s">
        <v>324</v>
      </c>
      <c r="D145" s="1260">
        <f>'T3 ANSP'!D145+'T3 MET'!D145+'T3 NSA'!D145</f>
        <v>0</v>
      </c>
      <c r="E145" s="1273">
        <f>'T3 ANSP'!E145+'T3 MET'!E145+'T3 NSA'!E145</f>
        <v>0</v>
      </c>
      <c r="F145" s="1263">
        <f>'T3 ANSP'!F145+'T3 MET'!F145+'T3 NSA'!F145</f>
        <v>0</v>
      </c>
      <c r="G145" s="1263">
        <f>'T3 ANSP'!G145+'T3 MET'!G145+'T3 NSA'!G145</f>
        <v>0</v>
      </c>
      <c r="H145" s="1314">
        <f>'T3 ANSP'!H145+'T3 MET'!H145+'T3 NSA'!H145</f>
        <v>0</v>
      </c>
      <c r="I145" s="1305">
        <f>'T3 ANSP'!I145+'T3 MET'!I145+'T3 NSA'!I145</f>
        <v>0</v>
      </c>
      <c r="J145" s="1260">
        <f>'T3 ANSP'!J145+'T3 MET'!J145+'T3 NSA'!J145</f>
        <v>0</v>
      </c>
      <c r="L145" s="418"/>
    </row>
    <row r="146" spans="1:12" ht="12" customHeight="1">
      <c r="A146" s="425">
        <v>2024</v>
      </c>
      <c r="B146" s="425"/>
      <c r="C146" s="421" t="s">
        <v>325</v>
      </c>
      <c r="D146" s="1322">
        <f>'T3 ANSP'!D146+'T3 MET'!D146+'T3 NSA'!D146</f>
        <v>0</v>
      </c>
      <c r="E146" s="1276">
        <f>'T3 ANSP'!E146+'T3 MET'!E146+'T3 NSA'!E146</f>
        <v>0</v>
      </c>
      <c r="F146" s="1277">
        <f>'T3 ANSP'!F146+'T3 MET'!F146+'T3 NSA'!F146</f>
        <v>0</v>
      </c>
      <c r="G146" s="1277">
        <f>'T3 ANSP'!G146+'T3 MET'!G146+'T3 NSA'!G146</f>
        <v>0</v>
      </c>
      <c r="H146" s="1277">
        <f>'T3 ANSP'!H146+'T3 MET'!H146+'T3 NSA'!H146</f>
        <v>0</v>
      </c>
      <c r="I146" s="1305">
        <f>'T3 ANSP'!I146+'T3 MET'!I146+'T3 NSA'!I146</f>
        <v>0</v>
      </c>
      <c r="J146" s="1260">
        <f>'T3 ANSP'!J146+'T3 MET'!J146+'T3 NSA'!J146</f>
        <v>0</v>
      </c>
      <c r="L146" s="418"/>
    </row>
    <row r="147" spans="1:12" ht="12" customHeight="1">
      <c r="A147" s="425" t="s">
        <v>237</v>
      </c>
      <c r="B147" s="425"/>
      <c r="C147" s="422" t="s">
        <v>326</v>
      </c>
      <c r="D147" s="1280">
        <f>'T3 ANSP'!D147+'T3 MET'!D147+'T3 NSA'!D147</f>
        <v>0</v>
      </c>
      <c r="E147" s="1281">
        <f>'T3 ANSP'!E147+'T3 MET'!E147+'T3 NSA'!E147</f>
        <v>0</v>
      </c>
      <c r="F147" s="1282">
        <f>'T3 ANSP'!F147+'T3 MET'!F147+'T3 NSA'!F147</f>
        <v>0</v>
      </c>
      <c r="G147" s="1282">
        <f>'T3 ANSP'!G147+'T3 MET'!G147+'T3 NSA'!G147</f>
        <v>0</v>
      </c>
      <c r="H147" s="1282">
        <f>'T3 ANSP'!H147+'T3 MET'!H147+'T3 NSA'!H147</f>
        <v>0</v>
      </c>
      <c r="I147" s="1283">
        <f>'T3 ANSP'!I147+'T3 MET'!I147+'T3 NSA'!I147</f>
        <v>0</v>
      </c>
      <c r="J147" s="1280">
        <f>'T3 ANSP'!J147+'T3 MET'!J147+'T3 NSA'!J147</f>
        <v>0</v>
      </c>
      <c r="L147" s="418"/>
    </row>
    <row r="148" spans="1:12" ht="4.3499999999999996" customHeight="1">
      <c r="A148" s="540"/>
      <c r="B148" s="540"/>
      <c r="I148" s="1385"/>
      <c r="L148" s="418"/>
    </row>
    <row r="149" spans="1:12" ht="12" customHeight="1">
      <c r="A149" s="425">
        <v>2017</v>
      </c>
      <c r="B149" s="425"/>
      <c r="C149" s="417" t="s">
        <v>327</v>
      </c>
      <c r="D149" s="1333">
        <f>'T3 ANSP'!D149+'T3 MET'!D149+'T3 NSA'!D149</f>
        <v>0</v>
      </c>
      <c r="E149" s="1255">
        <f>'T3 ANSP'!E149+'T3 MET'!E149+'T3 NSA'!E149</f>
        <v>0</v>
      </c>
      <c r="F149" s="1332">
        <f>'T3 ANSP'!F149+'T3 MET'!F149+'T3 NSA'!F149</f>
        <v>0</v>
      </c>
      <c r="G149" s="1332">
        <f>'T3 ANSP'!G149+'T3 MET'!G149+'T3 NSA'!G149</f>
        <v>0</v>
      </c>
      <c r="H149" s="1332">
        <f>'T3 ANSP'!H149+'T3 MET'!H149+'T3 NSA'!H149</f>
        <v>0</v>
      </c>
      <c r="I149" s="1386">
        <f>'T3 ANSP'!I149+'T3 MET'!I149+'T3 NSA'!I149</f>
        <v>0</v>
      </c>
      <c r="J149" s="1333">
        <f>'T3 ANSP'!J149+'T3 MET'!J149+'T3 NSA'!J149</f>
        <v>0</v>
      </c>
      <c r="L149" s="418"/>
    </row>
    <row r="150" spans="1:12" ht="12" customHeight="1">
      <c r="A150" s="425">
        <v>2018</v>
      </c>
      <c r="B150" s="425"/>
      <c r="C150" s="419" t="s">
        <v>328</v>
      </c>
      <c r="D150" s="1335">
        <f>'T3 ANSP'!D150+'T3 MET'!D150+'T3 NSA'!D150</f>
        <v>0</v>
      </c>
      <c r="E150" s="1334">
        <f>'T3 ANSP'!E150+'T3 MET'!E150+'T3 NSA'!E150</f>
        <v>0</v>
      </c>
      <c r="F150" s="1262">
        <f>'T3 ANSP'!F150+'T3 MET'!F150+'T3 NSA'!F150</f>
        <v>0</v>
      </c>
      <c r="G150" s="1262">
        <f>'T3 ANSP'!G150+'T3 MET'!G150+'T3 NSA'!G150</f>
        <v>0</v>
      </c>
      <c r="H150" s="1262">
        <f>'T3 ANSP'!H150+'T3 MET'!H150+'T3 NSA'!H150</f>
        <v>0</v>
      </c>
      <c r="I150" s="1387">
        <f>'T3 ANSP'!I150+'T3 MET'!I150+'T3 NSA'!I150</f>
        <v>0</v>
      </c>
      <c r="J150" s="1335">
        <f>'T3 ANSP'!J150+'T3 MET'!J150+'T3 NSA'!J150</f>
        <v>0</v>
      </c>
      <c r="L150" s="418"/>
    </row>
    <row r="151" spans="1:12" ht="12" customHeight="1">
      <c r="A151" s="425">
        <v>2019</v>
      </c>
      <c r="B151" s="425"/>
      <c r="C151" s="419" t="s">
        <v>329</v>
      </c>
      <c r="D151" s="1335">
        <f>'T3 ANSP'!D151+'T3 MET'!D151+'T3 NSA'!D151</f>
        <v>0</v>
      </c>
      <c r="E151" s="1334">
        <f>'T3 ANSP'!E151+'T3 MET'!E151+'T3 NSA'!E151</f>
        <v>0</v>
      </c>
      <c r="F151" s="1262">
        <f>'T3 ANSP'!F151+'T3 MET'!F151+'T3 NSA'!F151</f>
        <v>0</v>
      </c>
      <c r="G151" s="1262">
        <f>'T3 ANSP'!G151+'T3 MET'!G151+'T3 NSA'!G151</f>
        <v>0</v>
      </c>
      <c r="H151" s="1262">
        <f>'T3 ANSP'!H151+'T3 MET'!H151+'T3 NSA'!H151</f>
        <v>0</v>
      </c>
      <c r="I151" s="1387">
        <f>'T3 ANSP'!I151+'T3 MET'!I151+'T3 NSA'!I151</f>
        <v>0</v>
      </c>
      <c r="J151" s="1335">
        <f>'T3 ANSP'!J151+'T3 MET'!J151+'T3 NSA'!J151</f>
        <v>0</v>
      </c>
      <c r="L151" s="418"/>
    </row>
    <row r="152" spans="1:12" ht="12" customHeight="1">
      <c r="A152" s="425" t="s">
        <v>232</v>
      </c>
      <c r="B152" s="425"/>
      <c r="C152" s="556" t="s">
        <v>330</v>
      </c>
      <c r="D152" s="1336">
        <f>'T3 ANSP'!D152+'T3 MET'!D152+'T3 NSA'!D152</f>
        <v>0</v>
      </c>
      <c r="E152" s="1337">
        <f>'T3 ANSP'!E152+'T3 MET'!E152+'T3 NSA'!E152</f>
        <v>0</v>
      </c>
      <c r="F152" s="1338">
        <f>'T3 ANSP'!F152+'T3 MET'!F152+'T3 NSA'!F152</f>
        <v>0</v>
      </c>
      <c r="G152" s="1338">
        <f>'T3 ANSP'!G152+'T3 MET'!G152+'T3 NSA'!G152</f>
        <v>0</v>
      </c>
      <c r="H152" s="1338">
        <f>'T3 ANSP'!H152+'T3 MET'!H152+'T3 NSA'!H152</f>
        <v>0</v>
      </c>
      <c r="I152" s="1339">
        <f>'T3 ANSP'!I152+'T3 MET'!I152+'T3 NSA'!I152</f>
        <v>0</v>
      </c>
      <c r="J152" s="1336">
        <f>'T3 ANSP'!J152+'T3 MET'!J152+'T3 NSA'!J152</f>
        <v>0</v>
      </c>
      <c r="L152" s="418"/>
    </row>
    <row r="153" spans="1:12" ht="12" customHeight="1">
      <c r="A153" s="425" t="s">
        <v>500</v>
      </c>
      <c r="B153" s="425"/>
      <c r="C153" s="943"/>
      <c r="D153" s="1272"/>
      <c r="E153" s="1272"/>
      <c r="F153" s="1272"/>
      <c r="G153" s="1272"/>
      <c r="H153" s="1272"/>
      <c r="I153" s="1272"/>
      <c r="J153" s="1272"/>
      <c r="K153" s="425"/>
      <c r="L153" s="418"/>
    </row>
    <row r="154" spans="1:12" ht="12" customHeight="1">
      <c r="A154" s="425" t="s">
        <v>501</v>
      </c>
      <c r="B154" s="425"/>
      <c r="C154" s="419" t="s">
        <v>513</v>
      </c>
      <c r="D154" s="1335">
        <f>'T3 ANSP'!D154+'T3 MET'!D154+'T3 NSA'!D154</f>
        <v>0</v>
      </c>
      <c r="E154" s="1334">
        <f>'T3 ANSP'!E154+'T3 MET'!E154+'T3 NSA'!E154</f>
        <v>0</v>
      </c>
      <c r="F154" s="1262">
        <f>'T3 ANSP'!F154+'T3 MET'!F154+'T3 NSA'!F154</f>
        <v>0</v>
      </c>
      <c r="G154" s="1262">
        <f>'T3 ANSP'!G154+'T3 MET'!G154+'T3 NSA'!G154</f>
        <v>0</v>
      </c>
      <c r="H154" s="1262">
        <f>'T3 ANSP'!H154+'T3 MET'!H154+'T3 NSA'!H154</f>
        <v>0</v>
      </c>
      <c r="I154" s="1264">
        <f>'T3 ANSP'!I154+'T3 MET'!I154+'T3 NSA'!I154</f>
        <v>0</v>
      </c>
      <c r="J154" s="1265">
        <f>'T3 ANSP'!J154+'T3 MET'!J154+'T3 NSA'!J154</f>
        <v>0</v>
      </c>
      <c r="L154" s="418"/>
    </row>
    <row r="155" spans="1:12" ht="12" customHeight="1">
      <c r="A155" s="425">
        <v>2022</v>
      </c>
      <c r="B155" s="425"/>
      <c r="C155" s="419" t="s">
        <v>331</v>
      </c>
      <c r="D155" s="1340">
        <f>'T3 ANSP'!D155+'T3 MET'!D155+'T3 NSA'!D155</f>
        <v>0</v>
      </c>
      <c r="E155" s="1273">
        <f>'T3 ANSP'!E155+'T3 MET'!E155+'T3 NSA'!E155</f>
        <v>0</v>
      </c>
      <c r="F155" s="1263">
        <f>'T3 ANSP'!F155+'T3 MET'!F155+'T3 NSA'!F155</f>
        <v>0</v>
      </c>
      <c r="G155" s="1262">
        <f>'T3 ANSP'!G155+'T3 MET'!G155+'T3 NSA'!G155</f>
        <v>0</v>
      </c>
      <c r="H155" s="1262">
        <f>'T3 ANSP'!H155+'T3 MET'!H155+'T3 NSA'!H155</f>
        <v>0</v>
      </c>
      <c r="I155" s="1262">
        <f>'T3 ANSP'!I155+'T3 MET'!I155+'T3 NSA'!I155</f>
        <v>0</v>
      </c>
      <c r="J155" s="1265">
        <f>'T3 ANSP'!J155+'T3 MET'!J155+'T3 NSA'!J155</f>
        <v>0</v>
      </c>
      <c r="L155" s="418"/>
    </row>
    <row r="156" spans="1:12" ht="12" customHeight="1">
      <c r="A156" s="425">
        <v>2023</v>
      </c>
      <c r="B156" s="425"/>
      <c r="C156" s="419" t="s">
        <v>332</v>
      </c>
      <c r="D156" s="1340">
        <f>'T3 ANSP'!D156+'T3 MET'!D156+'T3 NSA'!D156</f>
        <v>0</v>
      </c>
      <c r="E156" s="1273">
        <f>'T3 ANSP'!E156+'T3 MET'!E156+'T3 NSA'!E156</f>
        <v>0</v>
      </c>
      <c r="F156" s="1263">
        <f>'T3 ANSP'!F156+'T3 MET'!F156+'T3 NSA'!F156</f>
        <v>0</v>
      </c>
      <c r="G156" s="1263">
        <f>'T3 ANSP'!G156+'T3 MET'!G156+'T3 NSA'!G156</f>
        <v>0</v>
      </c>
      <c r="H156" s="1262">
        <f>'T3 ANSP'!H156+'T3 MET'!H156+'T3 NSA'!H156</f>
        <v>0</v>
      </c>
      <c r="I156" s="1262">
        <f>'T3 ANSP'!I156+'T3 MET'!I156+'T3 NSA'!I156</f>
        <v>0</v>
      </c>
      <c r="J156" s="1335">
        <f>'T3 ANSP'!J156+'T3 MET'!J156+'T3 NSA'!J156</f>
        <v>0</v>
      </c>
      <c r="L156" s="418"/>
    </row>
    <row r="157" spans="1:12" ht="12" customHeight="1">
      <c r="A157" s="425">
        <v>2024</v>
      </c>
      <c r="B157" s="425"/>
      <c r="C157" s="421" t="s">
        <v>333</v>
      </c>
      <c r="D157" s="1342">
        <f>'T3 ANSP'!D157+'T3 MET'!D157+'T3 NSA'!D157</f>
        <v>0</v>
      </c>
      <c r="E157" s="1276">
        <f>'T3 ANSP'!E157+'T3 MET'!E157+'T3 NSA'!E157</f>
        <v>0</v>
      </c>
      <c r="F157" s="1277">
        <f>'T3 ANSP'!F157+'T3 MET'!F157+'T3 NSA'!F157</f>
        <v>0</v>
      </c>
      <c r="G157" s="1277">
        <f>'T3 ANSP'!G157+'T3 MET'!G157+'T3 NSA'!G157</f>
        <v>0</v>
      </c>
      <c r="H157" s="1277">
        <f>'T3 ANSP'!H157+'T3 MET'!H157+'T3 NSA'!H157</f>
        <v>0</v>
      </c>
      <c r="I157" s="1388">
        <f>'T3 ANSP'!I157+'T3 MET'!I157+'T3 NSA'!I157</f>
        <v>0</v>
      </c>
      <c r="J157" s="1344">
        <f>'T3 ANSP'!J157+'T3 MET'!J157+'T3 NSA'!J157</f>
        <v>0</v>
      </c>
      <c r="L157" s="418"/>
    </row>
    <row r="158" spans="1:12" ht="12" customHeight="1">
      <c r="A158" s="425" t="s">
        <v>237</v>
      </c>
      <c r="B158" s="425"/>
      <c r="C158" s="559" t="s">
        <v>334</v>
      </c>
      <c r="D158" s="1345">
        <f>'T3 ANSP'!D158+'T3 MET'!D158+'T3 NSA'!D158</f>
        <v>0</v>
      </c>
      <c r="E158" s="1346">
        <f>'T3 ANSP'!E158+'T3 MET'!E158+'T3 NSA'!E158</f>
        <v>0</v>
      </c>
      <c r="F158" s="1347">
        <f>'T3 ANSP'!F158+'T3 MET'!F158+'T3 NSA'!F158</f>
        <v>0</v>
      </c>
      <c r="G158" s="1347">
        <f>'T3 ANSP'!G158+'T3 MET'!G158+'T3 NSA'!G158</f>
        <v>0</v>
      </c>
      <c r="H158" s="1347">
        <f>'T3 ANSP'!H158+'T3 MET'!H158+'T3 NSA'!H158</f>
        <v>0</v>
      </c>
      <c r="I158" s="1348">
        <f>'T3 ANSP'!I158+'T3 MET'!I158+'T3 NSA'!I158</f>
        <v>0</v>
      </c>
      <c r="J158" s="1345">
        <f>'T3 ANSP'!J158+'T3 MET'!J158+'T3 NSA'!J158</f>
        <v>0</v>
      </c>
      <c r="L158" s="418"/>
    </row>
    <row r="159" spans="1:12" s="428" customFormat="1" ht="4.3499999999999996" customHeight="1">
      <c r="A159" s="539"/>
      <c r="B159" s="539"/>
      <c r="C159" s="945"/>
      <c r="D159" s="1376"/>
      <c r="E159" s="1376"/>
      <c r="F159" s="1377"/>
      <c r="G159" s="1376"/>
      <c r="H159" s="1376"/>
      <c r="I159" s="1389"/>
      <c r="J159" s="1376"/>
    </row>
    <row r="160" spans="1:12" ht="12" customHeight="1">
      <c r="A160" s="425" t="s">
        <v>500</v>
      </c>
      <c r="B160" s="425"/>
      <c r="C160" s="944"/>
      <c r="D160" s="1297"/>
      <c r="E160" s="1297"/>
      <c r="F160" s="1297"/>
      <c r="G160" s="1297"/>
      <c r="H160" s="1297"/>
      <c r="I160" s="1297"/>
      <c r="J160" s="1297"/>
      <c r="K160" s="425"/>
      <c r="L160" s="418"/>
    </row>
    <row r="161" spans="1:12" ht="12" customHeight="1">
      <c r="A161" s="425" t="s">
        <v>501</v>
      </c>
      <c r="B161" s="425"/>
      <c r="C161" s="419" t="s">
        <v>512</v>
      </c>
      <c r="D161" s="1436">
        <f>'T3 ANSP'!D161+'T3 MET'!D161+'T3 NSA'!D161</f>
        <v>373558.8094665262</v>
      </c>
      <c r="E161" s="1273">
        <f>'T3 ANSP'!E161+'T3 MET'!E161+'T3 NSA'!E161</f>
        <v>0</v>
      </c>
      <c r="F161" s="1263">
        <f>'T3 ANSP'!F161+'T3 MET'!F161+'T3 NSA'!F161</f>
        <v>0</v>
      </c>
      <c r="G161" s="1263">
        <f>'T3 ANSP'!G161+'T3 MET'!G161+'T3 NSA'!G161</f>
        <v>0</v>
      </c>
      <c r="H161" s="1437">
        <f>'T3 ANSP'!H161+'T3 MET'!H161+'T3 NSA'!H161</f>
        <v>0</v>
      </c>
      <c r="I161" s="1438">
        <f>'T3 ANSP'!I161+'T3 MET'!I161+'T3 NSA'!I161</f>
        <v>0</v>
      </c>
      <c r="J161" s="1436">
        <f>'T3 ANSP'!J161+'T3 MET'!J161+'T3 NSA'!J161</f>
        <v>0</v>
      </c>
      <c r="L161" s="418"/>
    </row>
    <row r="162" spans="1:12" ht="12" customHeight="1">
      <c r="A162" s="425">
        <v>2022</v>
      </c>
      <c r="B162" s="425"/>
      <c r="C162" s="419" t="s">
        <v>335</v>
      </c>
      <c r="D162" s="1260">
        <f>'T3 ANSP'!D162+'T3 MET'!D162+'T3 NSA'!D162</f>
        <v>0</v>
      </c>
      <c r="E162" s="1261">
        <f>'T3 ANSP'!E162+'T3 MET'!E162+'T3 NSA'!E162</f>
        <v>0</v>
      </c>
      <c r="F162" s="1304">
        <f>'T3 ANSP'!F162+'T3 MET'!F162+'T3 NSA'!F162</f>
        <v>0</v>
      </c>
      <c r="G162" s="1304">
        <f>'T3 ANSP'!G162+'T3 MET'!G162+'T3 NSA'!G162</f>
        <v>0</v>
      </c>
      <c r="H162" s="1314">
        <f>'T3 ANSP'!H162+'T3 MET'!H162+'T3 NSA'!H162</f>
        <v>0</v>
      </c>
      <c r="I162" s="1305">
        <f>'T3 ANSP'!I162+'T3 MET'!I162+'T3 NSA'!I162</f>
        <v>0</v>
      </c>
      <c r="J162" s="1260">
        <f>'T3 ANSP'!J162+'T3 MET'!J162+'T3 NSA'!J162</f>
        <v>0</v>
      </c>
      <c r="L162" s="418"/>
    </row>
    <row r="163" spans="1:12" ht="12" customHeight="1">
      <c r="A163" s="425">
        <v>2023</v>
      </c>
      <c r="B163" s="425"/>
      <c r="C163" s="419" t="s">
        <v>336</v>
      </c>
      <c r="D163" s="1260">
        <f>'T3 ANSP'!D163+'T3 MET'!D163+'T3 NSA'!D163</f>
        <v>0</v>
      </c>
      <c r="E163" s="1261">
        <f>'T3 ANSP'!E163+'T3 MET'!E163+'T3 NSA'!E163</f>
        <v>0</v>
      </c>
      <c r="F163" s="1304">
        <f>'T3 ANSP'!F163+'T3 MET'!F163+'T3 NSA'!F163</f>
        <v>0</v>
      </c>
      <c r="G163" s="1304">
        <f>'T3 ANSP'!G163+'T3 MET'!G163+'T3 NSA'!G163</f>
        <v>0</v>
      </c>
      <c r="H163" s="1304">
        <f>'T3 ANSP'!H163+'T3 MET'!H163+'T3 NSA'!H163</f>
        <v>0</v>
      </c>
      <c r="I163" s="1305">
        <f>'T3 ANSP'!I163+'T3 MET'!I163+'T3 NSA'!I163</f>
        <v>0</v>
      </c>
      <c r="J163" s="1260">
        <f>'T3 ANSP'!J163+'T3 MET'!J163+'T3 NSA'!J163</f>
        <v>0</v>
      </c>
      <c r="L163" s="418"/>
    </row>
    <row r="164" spans="1:12" ht="12" customHeight="1">
      <c r="A164" s="425">
        <v>2024</v>
      </c>
      <c r="B164" s="425"/>
      <c r="C164" s="421" t="s">
        <v>337</v>
      </c>
      <c r="D164" s="1322">
        <f>'T3 ANSP'!D164+'T3 MET'!D164+'T3 NSA'!D164</f>
        <v>0</v>
      </c>
      <c r="E164" s="1307">
        <f>'T3 ANSP'!E164+'T3 MET'!E164+'T3 NSA'!E164</f>
        <v>0</v>
      </c>
      <c r="F164" s="1308">
        <f>'T3 ANSP'!F164+'T3 MET'!F164+'T3 NSA'!F164</f>
        <v>0</v>
      </c>
      <c r="G164" s="1308">
        <f>'T3 ANSP'!G164+'T3 MET'!G164+'T3 NSA'!G164</f>
        <v>0</v>
      </c>
      <c r="H164" s="1308">
        <f>'T3 ANSP'!H164+'T3 MET'!H164+'T3 NSA'!H164</f>
        <v>0</v>
      </c>
      <c r="I164" s="1308">
        <f>'T3 ANSP'!I164+'T3 MET'!I164+'T3 NSA'!I164</f>
        <v>0</v>
      </c>
      <c r="J164" s="1260">
        <f>'T3 ANSP'!J164+'T3 MET'!J164+'T3 NSA'!J164</f>
        <v>0</v>
      </c>
      <c r="L164" s="418"/>
    </row>
    <row r="165" spans="1:12" ht="12" customHeight="1">
      <c r="A165" s="425" t="s">
        <v>237</v>
      </c>
      <c r="B165" s="425"/>
      <c r="C165" s="559" t="s">
        <v>338</v>
      </c>
      <c r="D165" s="1280">
        <f>'T3 ANSP'!D165+'T3 MET'!D165+'T3 NSA'!D165</f>
        <v>373558.8094665262</v>
      </c>
      <c r="E165" s="1291">
        <f>'T3 ANSP'!E165+'T3 MET'!E165+'T3 NSA'!E165</f>
        <v>0</v>
      </c>
      <c r="F165" s="1292">
        <f>'T3 ANSP'!F165+'T3 MET'!F165+'T3 NSA'!F165</f>
        <v>0</v>
      </c>
      <c r="G165" s="1292">
        <f>'T3 ANSP'!G165+'T3 MET'!G165+'T3 NSA'!G165</f>
        <v>0</v>
      </c>
      <c r="H165" s="1282">
        <f>'T3 ANSP'!H165+'T3 MET'!H165+'T3 NSA'!H165</f>
        <v>0</v>
      </c>
      <c r="I165" s="1283">
        <f>'T3 ANSP'!I165+'T3 MET'!I165+'T3 NSA'!I165</f>
        <v>0</v>
      </c>
      <c r="J165" s="1280">
        <f>'T3 ANSP'!J165+'T3 MET'!J165+'T3 NSA'!J165</f>
        <v>0</v>
      </c>
      <c r="L165" s="418"/>
    </row>
    <row r="166" spans="1:12" s="428" customFormat="1" ht="4.3499999999999996" customHeight="1">
      <c r="A166" s="539"/>
      <c r="B166" s="539"/>
      <c r="C166" s="945"/>
      <c r="D166" s="1376"/>
      <c r="E166" s="1376"/>
      <c r="F166" s="1377"/>
      <c r="G166" s="1376"/>
      <c r="H166" s="1376"/>
      <c r="I166" s="1389"/>
      <c r="J166" s="1376"/>
    </row>
    <row r="167" spans="1:12" ht="12" customHeight="1">
      <c r="A167" s="425" t="s">
        <v>500</v>
      </c>
      <c r="B167" s="425"/>
      <c r="C167" s="944"/>
      <c r="D167" s="1297"/>
      <c r="E167" s="1297"/>
      <c r="F167" s="1297"/>
      <c r="G167" s="1297"/>
      <c r="H167" s="1297"/>
      <c r="I167" s="1297"/>
      <c r="J167" s="1297"/>
      <c r="K167" s="425"/>
      <c r="L167" s="418"/>
    </row>
    <row r="168" spans="1:12" s="557" customFormat="1" ht="12" customHeight="1">
      <c r="A168" s="425" t="s">
        <v>501</v>
      </c>
      <c r="B168" s="425"/>
      <c r="C168" s="419" t="s">
        <v>511</v>
      </c>
      <c r="D168" s="1265">
        <f>'T3 ANSP'!D168+'T3 MET'!D168+'T3 NSA'!D168</f>
        <v>0</v>
      </c>
      <c r="E168" s="1273">
        <f>'T3 ANSP'!E168+'T3 MET'!E168+'T3 NSA'!E168</f>
        <v>0</v>
      </c>
      <c r="F168" s="1263">
        <f>'T3 ANSP'!F168+'T3 MET'!F168+'T3 NSA'!F168</f>
        <v>0</v>
      </c>
      <c r="G168" s="1263">
        <f>'T3 ANSP'!G168+'T3 MET'!G168+'T3 NSA'!G168</f>
        <v>0</v>
      </c>
      <c r="H168" s="1263">
        <f>'T3 ANSP'!H168+'T3 MET'!H168+'T3 NSA'!H168</f>
        <v>0</v>
      </c>
      <c r="I168" s="1264">
        <f>'T3 ANSP'!I168+'T3 MET'!I168+'T3 NSA'!I168</f>
        <v>0</v>
      </c>
      <c r="J168" s="1265">
        <f>'T3 ANSP'!J168+'T3 MET'!J168+'T3 NSA'!J168</f>
        <v>0</v>
      </c>
      <c r="L168" s="558"/>
    </row>
    <row r="169" spans="1:12" s="557" customFormat="1" ht="12" customHeight="1">
      <c r="A169" s="425">
        <v>2022</v>
      </c>
      <c r="B169" s="425"/>
      <c r="C169" s="419" t="s">
        <v>347</v>
      </c>
      <c r="D169" s="1374">
        <f>'T3 ANSP'!D169+'T3 MET'!D169+'T3 NSA'!D169</f>
        <v>0</v>
      </c>
      <c r="E169" s="1273">
        <f>'T3 ANSP'!E169+'T3 MET'!E169+'T3 NSA'!E169</f>
        <v>0</v>
      </c>
      <c r="F169" s="1263">
        <f>'T3 ANSP'!F169+'T3 MET'!F169+'T3 NSA'!F169</f>
        <v>0</v>
      </c>
      <c r="G169" s="1263">
        <f>'T3 ANSP'!G169+'T3 MET'!G169+'T3 NSA'!G169</f>
        <v>0</v>
      </c>
      <c r="H169" s="1263">
        <f>'T3 ANSP'!H169+'T3 MET'!H169+'T3 NSA'!H169</f>
        <v>0</v>
      </c>
      <c r="I169" s="1263">
        <f>'T3 ANSP'!I169+'T3 MET'!I169+'T3 NSA'!I169</f>
        <v>0</v>
      </c>
      <c r="J169" s="1265">
        <f>'T3 ANSP'!J169+'T3 MET'!J169+'T3 NSA'!J169</f>
        <v>0</v>
      </c>
      <c r="L169" s="558"/>
    </row>
    <row r="170" spans="1:12" s="557" customFormat="1" ht="12" customHeight="1">
      <c r="A170" s="425">
        <v>2023</v>
      </c>
      <c r="B170" s="425"/>
      <c r="C170" s="419" t="s">
        <v>348</v>
      </c>
      <c r="D170" s="1374">
        <f>'T3 ANSP'!D170+'T3 MET'!D170+'T3 NSA'!D170</f>
        <v>0</v>
      </c>
      <c r="E170" s="1273">
        <f>'T3 ANSP'!E170+'T3 MET'!E170+'T3 NSA'!E170</f>
        <v>0</v>
      </c>
      <c r="F170" s="1263">
        <f>'T3 ANSP'!F170+'T3 MET'!F170+'T3 NSA'!F170</f>
        <v>0</v>
      </c>
      <c r="G170" s="1263">
        <f>'T3 ANSP'!G170+'T3 MET'!G170+'T3 NSA'!G170</f>
        <v>0</v>
      </c>
      <c r="H170" s="1263">
        <f>'T3 ANSP'!H170+'T3 MET'!H170+'T3 NSA'!H170</f>
        <v>0</v>
      </c>
      <c r="I170" s="1263">
        <f>'T3 ANSP'!I170+'T3 MET'!I170+'T3 NSA'!I170</f>
        <v>0</v>
      </c>
      <c r="J170" s="1265">
        <f>'T3 ANSP'!J170+'T3 MET'!J170+'T3 NSA'!J170</f>
        <v>0</v>
      </c>
      <c r="L170" s="558"/>
    </row>
    <row r="171" spans="1:12" s="557" customFormat="1" ht="12" customHeight="1">
      <c r="A171" s="425">
        <v>2024</v>
      </c>
      <c r="B171" s="425"/>
      <c r="C171" s="421" t="s">
        <v>349</v>
      </c>
      <c r="D171" s="1375">
        <f>'T3 ANSP'!D171+'T3 MET'!D171+'T3 NSA'!D171</f>
        <v>0</v>
      </c>
      <c r="E171" s="1276">
        <f>'T3 ANSP'!E171+'T3 MET'!E171+'T3 NSA'!E171</f>
        <v>0</v>
      </c>
      <c r="F171" s="1277">
        <f>'T3 ANSP'!F171+'T3 MET'!F171+'T3 NSA'!F171</f>
        <v>0</v>
      </c>
      <c r="G171" s="1277">
        <f>'T3 ANSP'!G171+'T3 MET'!G171+'T3 NSA'!G171</f>
        <v>0</v>
      </c>
      <c r="H171" s="1277">
        <f>'T3 ANSP'!H171+'T3 MET'!H171+'T3 NSA'!H171</f>
        <v>0</v>
      </c>
      <c r="I171" s="1277">
        <f>'T3 ANSP'!I171+'T3 MET'!I171+'T3 NSA'!I171</f>
        <v>0</v>
      </c>
      <c r="J171" s="1279">
        <f>'T3 ANSP'!J171+'T3 MET'!J171+'T3 NSA'!J171</f>
        <v>0</v>
      </c>
      <c r="L171" s="558"/>
    </row>
    <row r="172" spans="1:12" s="557" customFormat="1" ht="12" customHeight="1">
      <c r="A172" s="425" t="s">
        <v>237</v>
      </c>
      <c r="B172" s="425"/>
      <c r="C172" s="559" t="s">
        <v>350</v>
      </c>
      <c r="D172" s="1294">
        <f>'T3 ANSP'!D172+'T3 MET'!D172+'T3 NSA'!D172</f>
        <v>0</v>
      </c>
      <c r="E172" s="1291">
        <f>'T3 ANSP'!E172+'T3 MET'!E172+'T3 NSA'!E172</f>
        <v>0</v>
      </c>
      <c r="F172" s="1292">
        <f>'T3 ANSP'!F172+'T3 MET'!F172+'T3 NSA'!F172</f>
        <v>0</v>
      </c>
      <c r="G172" s="1292">
        <f>'T3 ANSP'!G172+'T3 MET'!G172+'T3 NSA'!G172</f>
        <v>0</v>
      </c>
      <c r="H172" s="1292">
        <f>'T3 ANSP'!H172+'T3 MET'!H172+'T3 NSA'!H172</f>
        <v>0</v>
      </c>
      <c r="I172" s="1293">
        <f>'T3 ANSP'!I172+'T3 MET'!I172+'T3 NSA'!I172</f>
        <v>0</v>
      </c>
      <c r="J172" s="1294">
        <f>'T3 ANSP'!J172+'T3 MET'!J172+'T3 NSA'!J172</f>
        <v>0</v>
      </c>
      <c r="L172" s="558"/>
    </row>
    <row r="173" spans="1:12" ht="4.3499999999999996" customHeight="1">
      <c r="A173" s="425"/>
      <c r="B173" s="425"/>
      <c r="C173" s="426"/>
      <c r="D173" s="1354"/>
      <c r="E173" s="1354"/>
      <c r="F173" s="1355"/>
      <c r="G173" s="1354"/>
      <c r="H173" s="1354"/>
      <c r="I173" s="1390"/>
      <c r="J173" s="1354"/>
    </row>
    <row r="174" spans="1:12" ht="4.3499999999999996" customHeight="1">
      <c r="A174" s="425"/>
      <c r="B174" s="425"/>
      <c r="I174" s="1385"/>
    </row>
    <row r="175" spans="1:12" ht="12" customHeight="1">
      <c r="A175" s="425"/>
      <c r="B175" s="425"/>
      <c r="C175" s="422" t="s">
        <v>339</v>
      </c>
      <c r="D175" s="1280">
        <f>D17+D28+D35+D42+D49+D56+D63+D70+D75+D86+D97+D114+D125+D136+D147+D158+D165+D172</f>
        <v>545144.85487469123</v>
      </c>
      <c r="E175" s="1281">
        <f t="shared" ref="E175:J175" si="0">E17+E28+E35+E42+E49+E56+E63+E70+E75+E86+E97+E114+E125+E136+E147+E158+E165+E172</f>
        <v>51156.674195874257</v>
      </c>
      <c r="F175" s="1282">
        <f t="shared" si="0"/>
        <v>64054.734193688317</v>
      </c>
      <c r="G175" s="1282">
        <f t="shared" si="0"/>
        <v>25426.390125546048</v>
      </c>
      <c r="H175" s="1282">
        <f t="shared" si="0"/>
        <v>30948.24689305641</v>
      </c>
      <c r="I175" s="1283">
        <f t="shared" si="0"/>
        <v>0</v>
      </c>
      <c r="J175" s="1280">
        <f t="shared" si="0"/>
        <v>0</v>
      </c>
      <c r="L175" s="418"/>
    </row>
    <row r="176" spans="1:12" ht="12" customHeight="1">
      <c r="A176" s="425"/>
      <c r="B176" s="425"/>
      <c r="F176" s="1328"/>
    </row>
    <row r="177" spans="1:10" ht="12" customHeight="1">
      <c r="A177" s="425"/>
      <c r="B177" s="425"/>
      <c r="C177" s="74" t="s">
        <v>340</v>
      </c>
      <c r="D177" s="1391"/>
      <c r="E177" s="1391"/>
      <c r="F177" s="1449" t="s">
        <v>726</v>
      </c>
      <c r="G177" s="1450"/>
      <c r="H177" s="1450"/>
      <c r="I177" s="1450"/>
      <c r="J177" s="1451"/>
    </row>
    <row r="178" spans="1:10" ht="12" customHeight="1">
      <c r="A178" s="425"/>
      <c r="B178" s="425"/>
      <c r="C178" s="74" t="s">
        <v>341</v>
      </c>
      <c r="D178" s="1358"/>
      <c r="E178" s="1359"/>
      <c r="F178" s="1452" t="s">
        <v>727</v>
      </c>
      <c r="G178" s="1453"/>
      <c r="H178" s="1453"/>
      <c r="I178" s="1453"/>
      <c r="J178" s="1454"/>
    </row>
    <row r="179" spans="1:10" ht="12" customHeight="1">
      <c r="A179" s="425"/>
      <c r="B179" s="425"/>
      <c r="C179" s="926" t="s">
        <v>547</v>
      </c>
    </row>
    <row r="183" spans="1:10">
      <c r="C183" s="1455" t="s">
        <v>728</v>
      </c>
      <c r="D183" s="1456">
        <f>D11+D22+D75+D80+D91+D102+D108+D119+D130+D141+D152</f>
        <v>171586.04540816502</v>
      </c>
      <c r="E183" s="1456">
        <f t="shared" ref="E183:J183" si="1">E11+E22+E75+E80+E91+E102+E108+E119+E130+E141+E152</f>
        <v>51156.674195874257</v>
      </c>
      <c r="F183" s="1456">
        <f t="shared" si="1"/>
        <v>64054.734193688317</v>
      </c>
      <c r="G183" s="1456">
        <f t="shared" si="1"/>
        <v>25426.390125546048</v>
      </c>
      <c r="H183" s="1456">
        <f t="shared" si="1"/>
        <v>30948.24689305641</v>
      </c>
      <c r="I183" s="1456">
        <f t="shared" si="1"/>
        <v>0</v>
      </c>
      <c r="J183" s="1456">
        <f t="shared" si="1"/>
        <v>0</v>
      </c>
    </row>
    <row r="184" spans="1:10">
      <c r="C184" s="1455" t="s">
        <v>729</v>
      </c>
      <c r="D184" s="1456">
        <f>D17-D11+D28-D22+D35+D42+D49+D56+D63+D70+D86-D80+D97-D91+D114-D108-D102+D125-D119+D136-D130+D147-D141+D158-D152+D165+D172</f>
        <v>373558.8094665262</v>
      </c>
      <c r="E184" s="1456">
        <f t="shared" ref="E184:J184" si="2">E17-E11+E28-E22+E35+E42+E49+E56+E63+E70+E86-E80+E97-E91+E114-E108-E102+E125-E119+E136-E130+E147-E141+E158-E152+E165+E172</f>
        <v>0</v>
      </c>
      <c r="F184" s="1456">
        <f t="shared" si="2"/>
        <v>0</v>
      </c>
      <c r="G184" s="1456">
        <f t="shared" si="2"/>
        <v>0</v>
      </c>
      <c r="H184" s="1456">
        <f t="shared" si="2"/>
        <v>0</v>
      </c>
      <c r="I184" s="1456">
        <f t="shared" si="2"/>
        <v>0</v>
      </c>
      <c r="J184" s="1456">
        <f t="shared" si="2"/>
        <v>0</v>
      </c>
    </row>
    <row r="185" spans="1:10">
      <c r="C185" s="1455" t="s">
        <v>339</v>
      </c>
      <c r="D185" s="1456">
        <f>SUM(D183:D184)</f>
        <v>545144.85487469123</v>
      </c>
      <c r="E185" s="1456">
        <f t="shared" ref="E185:J185" si="3">SUM(E183:E184)</f>
        <v>51156.674195874257</v>
      </c>
      <c r="F185" s="1456">
        <f t="shared" si="3"/>
        <v>64054.734193688317</v>
      </c>
      <c r="G185" s="1456">
        <f t="shared" si="3"/>
        <v>25426.390125546048</v>
      </c>
      <c r="H185" s="1456">
        <f t="shared" si="3"/>
        <v>30948.24689305641</v>
      </c>
      <c r="I185" s="1456">
        <f t="shared" si="3"/>
        <v>0</v>
      </c>
      <c r="J185" s="1456">
        <f t="shared" si="3"/>
        <v>0</v>
      </c>
    </row>
  </sheetData>
  <autoFilter ref="A8:J172" xr:uid="{00000000-0009-0000-0000-00000E000000}"/>
  <mergeCells count="1">
    <mergeCell ref="C1:J1"/>
  </mergeCells>
  <pageMargins left="0.7" right="0.7" top="0.75" bottom="0.75" header="0.3" footer="0.3"/>
  <pageSetup paperSize="9" scale="7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
    <pageSetUpPr fitToPage="1"/>
  </sheetPr>
  <dimension ref="A1:X185"/>
  <sheetViews>
    <sheetView showGridLines="0" zoomScale="120" zoomScaleNormal="120" workbookViewId="0">
      <selection activeCell="G133" sqref="G133"/>
    </sheetView>
  </sheetViews>
  <sheetFormatPr baseColWidth="10" defaultColWidth="12.5703125" defaultRowHeight="15"/>
  <cols>
    <col min="1" max="1" width="12.5703125" style="425" customWidth="1"/>
    <col min="2" max="2" width="2.28515625" style="411" customWidth="1"/>
    <col min="3" max="3" width="52.5703125" style="411" customWidth="1"/>
    <col min="4" max="4" width="7.7109375" style="1328" customWidth="1"/>
    <col min="5" max="5" width="10" style="1328" customWidth="1"/>
    <col min="6" max="6" width="10" style="1245" customWidth="1"/>
    <col min="7" max="10" width="10" style="1328" customWidth="1"/>
    <col min="11" max="11" width="3.42578125" style="411" customWidth="1"/>
    <col min="12" max="12" width="13.5703125" style="411" customWidth="1"/>
    <col min="13" max="13" width="9" style="411" customWidth="1"/>
    <col min="14" max="14" width="7.7109375" style="411" customWidth="1"/>
    <col min="15" max="15" width="8.42578125" style="411" bestFit="1" customWidth="1"/>
    <col min="16" max="16" width="7.7109375" style="411" customWidth="1"/>
    <col min="17" max="17" width="16.42578125" style="411" customWidth="1"/>
    <col min="18" max="25" width="7.7109375" style="411" customWidth="1"/>
    <col min="26" max="16384" width="12.5703125" style="411"/>
  </cols>
  <sheetData>
    <row r="1" spans="1:24" ht="12" customHeight="1">
      <c r="C1" s="1519" t="s">
        <v>225</v>
      </c>
      <c r="D1" s="1519"/>
      <c r="E1" s="1519"/>
      <c r="F1" s="1519"/>
      <c r="G1" s="1519"/>
      <c r="H1" s="1519"/>
      <c r="I1" s="1519"/>
      <c r="J1" s="1519"/>
      <c r="K1" s="412"/>
      <c r="L1" s="412"/>
      <c r="M1" s="412"/>
      <c r="N1" s="412"/>
      <c r="O1" s="412"/>
      <c r="P1" s="412"/>
      <c r="Q1" s="412"/>
      <c r="R1" s="412"/>
      <c r="S1" s="412"/>
      <c r="T1" s="412"/>
      <c r="U1" s="412"/>
      <c r="V1" s="412"/>
      <c r="W1" s="412"/>
      <c r="X1" s="412"/>
    </row>
    <row r="2" spans="1:24" ht="12" customHeight="1">
      <c r="C2" s="413"/>
      <c r="D2" s="1168"/>
      <c r="E2" s="1168"/>
      <c r="G2" s="1168"/>
      <c r="H2" s="1168"/>
      <c r="I2" s="1168"/>
      <c r="J2" s="1168"/>
      <c r="K2" s="413"/>
    </row>
    <row r="3" spans="1:24" ht="12" customHeight="1">
      <c r="C3" s="541" t="str">
        <f>'T2 ANSP'!A3</f>
        <v>Norway - TCZ</v>
      </c>
      <c r="D3" s="1168"/>
      <c r="E3" s="1168"/>
      <c r="G3" s="1168"/>
      <c r="H3" s="1168"/>
      <c r="I3" s="1168"/>
      <c r="J3" s="1168"/>
      <c r="K3" s="413"/>
    </row>
    <row r="4" spans="1:24" ht="12" customHeight="1">
      <c r="C4" s="542" t="str">
        <f>'T2 ANSP'!A4</f>
        <v>Currency: NOK</v>
      </c>
      <c r="D4" s="1168"/>
      <c r="E4" s="1168"/>
      <c r="G4" s="1168"/>
      <c r="H4" s="1168"/>
      <c r="I4" s="1168"/>
      <c r="J4" s="1168"/>
      <c r="K4" s="413"/>
    </row>
    <row r="5" spans="1:24" ht="12" customHeight="1">
      <c r="C5" s="543" t="str">
        <f>'T2 ANSP'!A5</f>
        <v>Avinor ANS</v>
      </c>
      <c r="D5" s="1168"/>
      <c r="E5" s="1246"/>
      <c r="G5" s="1247"/>
      <c r="H5" s="1168"/>
      <c r="I5" s="1168"/>
      <c r="J5" s="1168"/>
      <c r="K5" s="413"/>
    </row>
    <row r="6" spans="1:24" ht="12" customHeight="1">
      <c r="C6" s="414"/>
      <c r="D6" s="1248"/>
      <c r="E6" s="1248"/>
      <c r="F6" s="1248"/>
      <c r="G6" s="1248"/>
      <c r="H6" s="1248"/>
      <c r="I6" s="1248"/>
      <c r="J6" s="1248"/>
      <c r="K6" s="414"/>
    </row>
    <row r="7" spans="1:24" ht="12" customHeight="1">
      <c r="A7" s="425" t="s">
        <v>226</v>
      </c>
      <c r="B7" s="425"/>
      <c r="C7" s="415" t="s">
        <v>227</v>
      </c>
      <c r="D7" s="1249" t="s">
        <v>228</v>
      </c>
      <c r="E7" s="1250">
        <v>2020</v>
      </c>
      <c r="F7" s="1251">
        <v>2021</v>
      </c>
      <c r="G7" s="1251">
        <v>2022</v>
      </c>
      <c r="H7" s="1251">
        <v>2023</v>
      </c>
      <c r="I7" s="1252">
        <v>2024</v>
      </c>
      <c r="J7" s="415" t="s">
        <v>229</v>
      </c>
      <c r="K7" s="413"/>
    </row>
    <row r="8" spans="1:24" ht="12" customHeight="1">
      <c r="B8" s="425"/>
      <c r="C8" s="416"/>
      <c r="D8" s="1253"/>
      <c r="E8" s="1253"/>
      <c r="F8" s="1253"/>
      <c r="G8" s="1253"/>
      <c r="H8" s="1253"/>
      <c r="I8" s="1253"/>
      <c r="J8" s="1253"/>
      <c r="K8" s="413"/>
    </row>
    <row r="9" spans="1:24" ht="12" customHeight="1">
      <c r="A9" s="425">
        <v>2018</v>
      </c>
      <c r="B9" s="425"/>
      <c r="C9" s="417" t="s">
        <v>230</v>
      </c>
      <c r="D9" s="1254">
        <v>12248.576339738327</v>
      </c>
      <c r="E9" s="1255">
        <f>D9</f>
        <v>12248.576339738327</v>
      </c>
      <c r="F9" s="1256"/>
      <c r="G9" s="1257"/>
      <c r="H9" s="1257"/>
      <c r="I9" s="1258"/>
      <c r="J9" s="1259"/>
    </row>
    <row r="10" spans="1:24" ht="12" customHeight="1">
      <c r="A10" s="425">
        <v>2019</v>
      </c>
      <c r="B10" s="425"/>
      <c r="C10" s="419" t="s">
        <v>231</v>
      </c>
      <c r="D10" s="1260">
        <v>11359.656657039797</v>
      </c>
      <c r="E10" s="1261"/>
      <c r="F10" s="1262">
        <f>D10</f>
        <v>11359.656657039797</v>
      </c>
      <c r="G10" s="1263"/>
      <c r="H10" s="1263"/>
      <c r="I10" s="1264"/>
      <c r="J10" s="1265"/>
    </row>
    <row r="11" spans="1:24" ht="12" customHeight="1">
      <c r="A11" s="425" t="s">
        <v>232</v>
      </c>
      <c r="B11" s="425"/>
      <c r="C11" s="556" t="s">
        <v>233</v>
      </c>
      <c r="D11" s="1266">
        <f>SUM(D9:D10)</f>
        <v>23608.232996778126</v>
      </c>
      <c r="E11" s="1267">
        <f t="shared" ref="E11:F11" si="0">SUM(E9:E10)</f>
        <v>12248.576339738327</v>
      </c>
      <c r="F11" s="1268">
        <f t="shared" si="0"/>
        <v>11359.656657039797</v>
      </c>
      <c r="G11" s="1360"/>
      <c r="H11" s="1360"/>
      <c r="I11" s="1361"/>
      <c r="J11" s="1290"/>
    </row>
    <row r="12" spans="1:24" ht="12" customHeight="1">
      <c r="A12" s="425" t="s">
        <v>500</v>
      </c>
      <c r="B12" s="425"/>
      <c r="C12" s="943"/>
      <c r="D12" s="1272"/>
      <c r="E12" s="1272"/>
      <c r="F12" s="1272"/>
      <c r="G12" s="1272"/>
      <c r="H12" s="1272"/>
      <c r="I12" s="1272"/>
      <c r="J12" s="1272"/>
      <c r="K12" s="425"/>
      <c r="L12" s="418"/>
    </row>
    <row r="13" spans="1:24" ht="12" customHeight="1">
      <c r="A13" s="425" t="s">
        <v>501</v>
      </c>
      <c r="B13" s="425"/>
      <c r="C13" s="419" t="s">
        <v>510</v>
      </c>
      <c r="D13" s="1260">
        <f>'T2 ANSP'!C19</f>
        <v>0</v>
      </c>
      <c r="E13" s="1261"/>
      <c r="F13" s="1304"/>
      <c r="G13" s="1263"/>
      <c r="H13" s="1314">
        <f>D13</f>
        <v>0</v>
      </c>
      <c r="I13" s="1264"/>
      <c r="J13" s="1265"/>
    </row>
    <row r="14" spans="1:24" ht="12" customHeight="1">
      <c r="A14" s="425">
        <v>2022</v>
      </c>
      <c r="B14" s="425"/>
      <c r="C14" s="419" t="s">
        <v>234</v>
      </c>
      <c r="D14" s="1260">
        <f>'T2 ANSP'!D19</f>
        <v>0</v>
      </c>
      <c r="E14" s="1261"/>
      <c r="F14" s="1304"/>
      <c r="G14" s="1263"/>
      <c r="H14" s="1263"/>
      <c r="I14" s="1305">
        <f>D14</f>
        <v>0</v>
      </c>
      <c r="J14" s="1265"/>
    </row>
    <row r="15" spans="1:24" ht="12" customHeight="1">
      <c r="A15" s="425">
        <v>2023</v>
      </c>
      <c r="B15" s="425"/>
      <c r="C15" s="419" t="s">
        <v>235</v>
      </c>
      <c r="D15" s="1260">
        <f>'T2 ANSP'!E19</f>
        <v>0</v>
      </c>
      <c r="E15" s="1261"/>
      <c r="F15" s="1304"/>
      <c r="G15" s="1263"/>
      <c r="H15" s="1263"/>
      <c r="I15" s="1274"/>
      <c r="J15" s="1260">
        <f>D15</f>
        <v>0</v>
      </c>
    </row>
    <row r="16" spans="1:24" ht="12" customHeight="1">
      <c r="A16" s="425">
        <v>2024</v>
      </c>
      <c r="B16" s="425"/>
      <c r="C16" s="421" t="s">
        <v>236</v>
      </c>
      <c r="D16" s="1322">
        <f>'T2 ANSP'!F19</f>
        <v>0</v>
      </c>
      <c r="E16" s="1307"/>
      <c r="F16" s="1308"/>
      <c r="G16" s="1308"/>
      <c r="H16" s="1308"/>
      <c r="I16" s="1309"/>
      <c r="J16" s="1322">
        <f>D16</f>
        <v>0</v>
      </c>
    </row>
    <row r="17" spans="1:12" ht="12" customHeight="1">
      <c r="A17" s="425" t="s">
        <v>237</v>
      </c>
      <c r="B17" s="425"/>
      <c r="C17" s="559" t="s">
        <v>238</v>
      </c>
      <c r="D17" s="1280">
        <f>SUM(D11:D16)</f>
        <v>23608.232996778126</v>
      </c>
      <c r="E17" s="1281">
        <f t="shared" ref="E17:I17" si="1">SUM(E11:E16)</f>
        <v>12248.576339738327</v>
      </c>
      <c r="F17" s="1282">
        <f t="shared" si="1"/>
        <v>11359.656657039797</v>
      </c>
      <c r="G17" s="1282">
        <f t="shared" si="1"/>
        <v>0</v>
      </c>
      <c r="H17" s="1282">
        <f t="shared" si="1"/>
        <v>0</v>
      </c>
      <c r="I17" s="1283">
        <f t="shared" si="1"/>
        <v>0</v>
      </c>
      <c r="J17" s="1280">
        <f>SUM(J11:J16)</f>
        <v>0</v>
      </c>
    </row>
    <row r="18" spans="1:12" ht="4.3499999999999996" customHeight="1">
      <c r="A18" s="540"/>
      <c r="B18" s="540"/>
      <c r="C18" s="427"/>
      <c r="D18" s="1284"/>
      <c r="E18" s="1285"/>
      <c r="F18" s="1285"/>
      <c r="G18" s="1285"/>
      <c r="H18" s="1285"/>
      <c r="I18" s="1285"/>
      <c r="J18" s="1285"/>
    </row>
    <row r="19" spans="1:12" ht="12" customHeight="1">
      <c r="A19" s="425">
        <v>2017</v>
      </c>
      <c r="B19" s="425"/>
      <c r="C19" s="417" t="s">
        <v>239</v>
      </c>
      <c r="D19" s="1254">
        <v>0</v>
      </c>
      <c r="E19" s="1312">
        <v>0</v>
      </c>
      <c r="F19" s="1303">
        <v>0</v>
      </c>
      <c r="G19" s="1303">
        <v>0</v>
      </c>
      <c r="H19" s="1303">
        <v>0</v>
      </c>
      <c r="I19" s="1319">
        <v>0</v>
      </c>
      <c r="J19" s="1254">
        <f>D19-SUM(E19:I19)</f>
        <v>0</v>
      </c>
    </row>
    <row r="20" spans="1:12" ht="12" customHeight="1">
      <c r="A20" s="425">
        <v>2018</v>
      </c>
      <c r="B20" s="425"/>
      <c r="C20" s="419" t="s">
        <v>240</v>
      </c>
      <c r="D20" s="1260">
        <v>28019.899400500635</v>
      </c>
      <c r="E20" s="1313">
        <f>D20</f>
        <v>28019.899400500635</v>
      </c>
      <c r="F20" s="1314">
        <v>0</v>
      </c>
      <c r="G20" s="1314">
        <v>0</v>
      </c>
      <c r="H20" s="1314">
        <v>0</v>
      </c>
      <c r="I20" s="1305">
        <v>0</v>
      </c>
      <c r="J20" s="1260">
        <f t="shared" ref="J20:J21" si="2">D20-SUM(E20:I20)</f>
        <v>0</v>
      </c>
    </row>
    <row r="21" spans="1:12" ht="12" customHeight="1">
      <c r="A21" s="425">
        <v>2019</v>
      </c>
      <c r="B21" s="425"/>
      <c r="C21" s="419" t="s">
        <v>241</v>
      </c>
      <c r="D21" s="1322">
        <v>38799.738837761564</v>
      </c>
      <c r="E21" s="1307"/>
      <c r="F21" s="1362">
        <f>+D21</f>
        <v>38799.738837761564</v>
      </c>
      <c r="G21" s="1362">
        <v>0</v>
      </c>
      <c r="H21" s="1362">
        <v>0</v>
      </c>
      <c r="I21" s="1363">
        <v>0</v>
      </c>
      <c r="J21" s="1322">
        <f t="shared" si="2"/>
        <v>0</v>
      </c>
    </row>
    <row r="22" spans="1:12" ht="12" customHeight="1">
      <c r="A22" s="425" t="s">
        <v>232</v>
      </c>
      <c r="B22" s="425"/>
      <c r="C22" s="556" t="s">
        <v>242</v>
      </c>
      <c r="D22" s="1266">
        <f>SUM(D19:D21)</f>
        <v>66819.638238262196</v>
      </c>
      <c r="E22" s="1325">
        <f t="shared" ref="E22:J22" si="3">SUM(E19:E21)</f>
        <v>28019.899400500635</v>
      </c>
      <c r="F22" s="1268">
        <f t="shared" si="3"/>
        <v>38799.738837761564</v>
      </c>
      <c r="G22" s="1268">
        <f t="shared" si="3"/>
        <v>0</v>
      </c>
      <c r="H22" s="1268">
        <f t="shared" si="3"/>
        <v>0</v>
      </c>
      <c r="I22" s="1320">
        <f t="shared" si="3"/>
        <v>0</v>
      </c>
      <c r="J22" s="1266">
        <f t="shared" si="3"/>
        <v>0</v>
      </c>
    </row>
    <row r="23" spans="1:12" ht="12" customHeight="1">
      <c r="A23" s="425" t="s">
        <v>500</v>
      </c>
      <c r="B23" s="425"/>
      <c r="C23" s="943"/>
      <c r="D23" s="1272"/>
      <c r="E23" s="1272"/>
      <c r="F23" s="1272"/>
      <c r="G23" s="1272"/>
      <c r="H23" s="1272"/>
      <c r="I23" s="1272"/>
      <c r="J23" s="1272"/>
      <c r="K23" s="425"/>
      <c r="L23" s="418"/>
    </row>
    <row r="24" spans="1:12" ht="12" customHeight="1">
      <c r="A24" s="425" t="s">
        <v>501</v>
      </c>
      <c r="B24" s="425"/>
      <c r="C24" s="419" t="s">
        <v>502</v>
      </c>
      <c r="D24" s="1260">
        <f>'T2 ANSP'!C41</f>
        <v>0</v>
      </c>
      <c r="E24" s="1261"/>
      <c r="F24" s="1304"/>
      <c r="G24" s="1263"/>
      <c r="H24" s="1241">
        <f>D24</f>
        <v>0</v>
      </c>
      <c r="I24" s="1314">
        <f>D24-H24</f>
        <v>0</v>
      </c>
      <c r="J24" s="1265"/>
    </row>
    <row r="25" spans="1:12" ht="12" customHeight="1">
      <c r="A25" s="425">
        <v>2022</v>
      </c>
      <c r="B25" s="425"/>
      <c r="C25" s="419" t="s">
        <v>243</v>
      </c>
      <c r="D25" s="1260">
        <f>'T2 ANSP'!D41</f>
        <v>0</v>
      </c>
      <c r="E25" s="1261"/>
      <c r="F25" s="1304"/>
      <c r="G25" s="1263"/>
      <c r="H25" s="1263"/>
      <c r="I25" s="1305">
        <f>D25</f>
        <v>0</v>
      </c>
      <c r="J25" s="1265"/>
    </row>
    <row r="26" spans="1:12" ht="12" customHeight="1">
      <c r="A26" s="425">
        <v>2023</v>
      </c>
      <c r="B26" s="425"/>
      <c r="C26" s="419" t="s">
        <v>244</v>
      </c>
      <c r="D26" s="1260">
        <f>'T2 ANSP'!E41</f>
        <v>0</v>
      </c>
      <c r="E26" s="1261"/>
      <c r="F26" s="1304"/>
      <c r="G26" s="1263"/>
      <c r="H26" s="1263"/>
      <c r="I26" s="1274"/>
      <c r="J26" s="1326">
        <f>D26</f>
        <v>0</v>
      </c>
    </row>
    <row r="27" spans="1:12" ht="12" customHeight="1">
      <c r="A27" s="425">
        <v>2024</v>
      </c>
      <c r="B27" s="425"/>
      <c r="C27" s="421" t="s">
        <v>245</v>
      </c>
      <c r="D27" s="1322">
        <f>'T2 ANSP'!F41</f>
        <v>0</v>
      </c>
      <c r="E27" s="1307"/>
      <c r="F27" s="1308"/>
      <c r="G27" s="1308"/>
      <c r="H27" s="1308"/>
      <c r="I27" s="1309"/>
      <c r="J27" s="1327">
        <f>D27</f>
        <v>0</v>
      </c>
    </row>
    <row r="28" spans="1:12" ht="12" customHeight="1">
      <c r="A28" s="425" t="s">
        <v>237</v>
      </c>
      <c r="B28" s="425"/>
      <c r="C28" s="559" t="s">
        <v>246</v>
      </c>
      <c r="D28" s="1280">
        <f>SUM(D22:D27)</f>
        <v>66819.638238262196</v>
      </c>
      <c r="E28" s="1281">
        <f t="shared" ref="E28:J28" si="4">SUM(E22:E27)</f>
        <v>28019.899400500635</v>
      </c>
      <c r="F28" s="1282">
        <f t="shared" si="4"/>
        <v>38799.738837761564</v>
      </c>
      <c r="G28" s="1282">
        <f t="shared" si="4"/>
        <v>0</v>
      </c>
      <c r="H28" s="1282">
        <f t="shared" si="4"/>
        <v>0</v>
      </c>
      <c r="I28" s="1283">
        <f t="shared" si="4"/>
        <v>0</v>
      </c>
      <c r="J28" s="1280">
        <f t="shared" si="4"/>
        <v>0</v>
      </c>
    </row>
    <row r="29" spans="1:12" ht="4.3499999999999996" customHeight="1">
      <c r="A29" s="540"/>
      <c r="B29" s="540"/>
      <c r="C29" s="1065"/>
      <c r="D29" s="1295"/>
      <c r="E29" s="1296"/>
      <c r="F29" s="1296"/>
      <c r="G29" s="1296"/>
      <c r="H29" s="1296"/>
      <c r="I29" s="1296"/>
      <c r="J29" s="1296"/>
    </row>
    <row r="30" spans="1:12" ht="12" customHeight="1">
      <c r="A30" s="425" t="s">
        <v>500</v>
      </c>
      <c r="B30" s="425"/>
      <c r="C30" s="944"/>
      <c r="D30" s="1297"/>
      <c r="E30" s="1297"/>
      <c r="F30" s="1297"/>
      <c r="G30" s="1297"/>
      <c r="H30" s="1297"/>
      <c r="I30" s="1297"/>
      <c r="J30" s="1297"/>
      <c r="K30" s="425"/>
      <c r="L30" s="418"/>
    </row>
    <row r="31" spans="1:12" ht="12" customHeight="1">
      <c r="A31" s="425" t="s">
        <v>501</v>
      </c>
      <c r="B31" s="425"/>
      <c r="C31" s="419" t="s">
        <v>503</v>
      </c>
      <c r="D31" s="1260">
        <f>'T2 ANSP'!C22</f>
        <v>0</v>
      </c>
      <c r="E31" s="1261"/>
      <c r="F31" s="1304"/>
      <c r="G31" s="1263"/>
      <c r="H31" s="1241">
        <f>D31</f>
        <v>0</v>
      </c>
      <c r="I31" s="1264"/>
      <c r="J31" s="1260">
        <f t="shared" ref="J31:J32" si="5">D31-SUM(E31:I31)</f>
        <v>0</v>
      </c>
    </row>
    <row r="32" spans="1:12" ht="12" customHeight="1">
      <c r="A32" s="425">
        <v>2022</v>
      </c>
      <c r="B32" s="425"/>
      <c r="C32" s="419" t="s">
        <v>247</v>
      </c>
      <c r="D32" s="1260">
        <f>'T2 ANSP'!D22</f>
        <v>0</v>
      </c>
      <c r="E32" s="1261"/>
      <c r="F32" s="1304"/>
      <c r="G32" s="1263"/>
      <c r="H32" s="1263"/>
      <c r="I32" s="1242">
        <f>D32</f>
        <v>0</v>
      </c>
      <c r="J32" s="1260">
        <f t="shared" si="5"/>
        <v>0</v>
      </c>
    </row>
    <row r="33" spans="1:12" ht="12" customHeight="1">
      <c r="A33" s="425">
        <v>2023</v>
      </c>
      <c r="B33" s="425"/>
      <c r="C33" s="419" t="s">
        <v>248</v>
      </c>
      <c r="D33" s="1260">
        <f>'T2 ANSP'!E22</f>
        <v>0</v>
      </c>
      <c r="E33" s="1261"/>
      <c r="F33" s="1304"/>
      <c r="G33" s="1263"/>
      <c r="H33" s="1263"/>
      <c r="I33" s="1274"/>
      <c r="J33" s="1260">
        <f>D33</f>
        <v>0</v>
      </c>
    </row>
    <row r="34" spans="1:12" ht="12" customHeight="1">
      <c r="A34" s="425">
        <v>2024</v>
      </c>
      <c r="B34" s="425"/>
      <c r="C34" s="421" t="s">
        <v>249</v>
      </c>
      <c r="D34" s="1322">
        <f>'T2 ANSP'!F22</f>
        <v>0</v>
      </c>
      <c r="E34" s="1307"/>
      <c r="F34" s="1308"/>
      <c r="G34" s="1308"/>
      <c r="H34" s="1308"/>
      <c r="I34" s="1309"/>
      <c r="J34" s="1322">
        <f>D34</f>
        <v>0</v>
      </c>
    </row>
    <row r="35" spans="1:12" ht="12" customHeight="1">
      <c r="A35" s="425" t="s">
        <v>237</v>
      </c>
      <c r="B35" s="425"/>
      <c r="C35" s="559" t="s">
        <v>250</v>
      </c>
      <c r="D35" s="1280">
        <f>SUM(D30:D34)</f>
        <v>0</v>
      </c>
      <c r="E35" s="1291"/>
      <c r="F35" s="1292"/>
      <c r="G35" s="1292"/>
      <c r="H35" s="1282">
        <f t="shared" ref="H35:J35" si="6">SUM(H30:H34)</f>
        <v>0</v>
      </c>
      <c r="I35" s="1283">
        <f t="shared" si="6"/>
        <v>0</v>
      </c>
      <c r="J35" s="1280">
        <f t="shared" si="6"/>
        <v>0</v>
      </c>
    </row>
    <row r="36" spans="1:12" ht="4.3499999999999996" customHeight="1">
      <c r="A36" s="540"/>
      <c r="B36" s="540"/>
      <c r="C36" s="1065"/>
      <c r="D36" s="1295"/>
      <c r="E36" s="1296"/>
      <c r="F36" s="1296"/>
      <c r="G36" s="1296"/>
      <c r="H36" s="1296"/>
      <c r="I36" s="1296"/>
      <c r="J36" s="1296"/>
    </row>
    <row r="37" spans="1:12" ht="12" customHeight="1">
      <c r="A37" s="425" t="s">
        <v>500</v>
      </c>
      <c r="B37" s="425"/>
      <c r="C37" s="944"/>
      <c r="D37" s="1297"/>
      <c r="E37" s="1297"/>
      <c r="F37" s="1297"/>
      <c r="G37" s="1297"/>
      <c r="H37" s="1297"/>
      <c r="I37" s="1297"/>
      <c r="J37" s="1297"/>
      <c r="K37" s="425"/>
      <c r="L37" s="418"/>
    </row>
    <row r="38" spans="1:12" ht="12" customHeight="1">
      <c r="A38" s="425" t="s">
        <v>501</v>
      </c>
      <c r="B38" s="425"/>
      <c r="C38" s="419" t="s">
        <v>504</v>
      </c>
      <c r="D38" s="1298"/>
      <c r="E38" s="1261"/>
      <c r="F38" s="1304"/>
      <c r="G38" s="1263"/>
      <c r="H38" s="1263"/>
      <c r="I38" s="1264"/>
      <c r="J38" s="1265"/>
    </row>
    <row r="39" spans="1:12" ht="12" customHeight="1">
      <c r="A39" s="425">
        <v>2022</v>
      </c>
      <c r="B39" s="425"/>
      <c r="C39" s="419" t="s">
        <v>251</v>
      </c>
      <c r="D39" s="1298"/>
      <c r="E39" s="1261"/>
      <c r="F39" s="1304"/>
      <c r="G39" s="1263"/>
      <c r="H39" s="1263"/>
      <c r="I39" s="1274"/>
      <c r="J39" s="1265"/>
    </row>
    <row r="40" spans="1:12" ht="12" customHeight="1">
      <c r="A40" s="425">
        <v>2023</v>
      </c>
      <c r="B40" s="425"/>
      <c r="C40" s="419" t="s">
        <v>252</v>
      </c>
      <c r="D40" s="1298"/>
      <c r="E40" s="1261"/>
      <c r="F40" s="1304"/>
      <c r="G40" s="1263"/>
      <c r="H40" s="1263"/>
      <c r="I40" s="1274"/>
      <c r="J40" s="1265"/>
      <c r="L40" s="233"/>
    </row>
    <row r="41" spans="1:12" ht="12" customHeight="1">
      <c r="A41" s="425">
        <v>2024</v>
      </c>
      <c r="B41" s="425"/>
      <c r="C41" s="421" t="s">
        <v>253</v>
      </c>
      <c r="D41" s="1301"/>
      <c r="E41" s="1307"/>
      <c r="F41" s="1308"/>
      <c r="G41" s="1277"/>
      <c r="H41" s="1277"/>
      <c r="I41" s="1278"/>
      <c r="J41" s="1279"/>
    </row>
    <row r="42" spans="1:12" ht="12" customHeight="1">
      <c r="A42" s="425" t="s">
        <v>237</v>
      </c>
      <c r="B42" s="425"/>
      <c r="C42" s="559" t="s">
        <v>254</v>
      </c>
      <c r="D42" s="1294"/>
      <c r="E42" s="1291"/>
      <c r="F42" s="1292"/>
      <c r="G42" s="1292"/>
      <c r="H42" s="1292"/>
      <c r="I42" s="1293"/>
      <c r="J42" s="1294"/>
    </row>
    <row r="43" spans="1:12" ht="4.3499999999999996" customHeight="1">
      <c r="A43" s="540"/>
      <c r="B43" s="540"/>
      <c r="C43" s="1065"/>
      <c r="D43" s="1295"/>
      <c r="E43" s="1296"/>
      <c r="F43" s="1296"/>
      <c r="G43" s="1296"/>
      <c r="H43" s="1296"/>
      <c r="I43" s="1296"/>
      <c r="J43" s="1296"/>
    </row>
    <row r="44" spans="1:12" ht="12" customHeight="1">
      <c r="A44" s="425" t="s">
        <v>500</v>
      </c>
      <c r="B44" s="425"/>
      <c r="C44" s="944"/>
      <c r="D44" s="1297"/>
      <c r="E44" s="1297"/>
      <c r="F44" s="1297"/>
      <c r="G44" s="1297"/>
      <c r="H44" s="1297"/>
      <c r="I44" s="1297"/>
      <c r="J44" s="1297"/>
      <c r="K44" s="425"/>
      <c r="L44" s="418"/>
    </row>
    <row r="45" spans="1:12" ht="12" customHeight="1">
      <c r="A45" s="425" t="s">
        <v>501</v>
      </c>
      <c r="B45" s="425"/>
      <c r="C45" s="419" t="s">
        <v>505</v>
      </c>
      <c r="D45" s="1298"/>
      <c r="E45" s="1261"/>
      <c r="F45" s="1304"/>
      <c r="G45" s="1263"/>
      <c r="H45" s="1263"/>
      <c r="I45" s="1264"/>
      <c r="J45" s="1265"/>
      <c r="L45" s="336"/>
    </row>
    <row r="46" spans="1:12" ht="12" customHeight="1">
      <c r="A46" s="425">
        <v>2022</v>
      </c>
      <c r="B46" s="425"/>
      <c r="C46" s="419" t="s">
        <v>255</v>
      </c>
      <c r="D46" s="1298"/>
      <c r="E46" s="1261"/>
      <c r="F46" s="1304"/>
      <c r="G46" s="1263"/>
      <c r="H46" s="1263"/>
      <c r="I46" s="1274"/>
      <c r="J46" s="1265"/>
    </row>
    <row r="47" spans="1:12" ht="12" customHeight="1">
      <c r="A47" s="425">
        <v>2023</v>
      </c>
      <c r="B47" s="425"/>
      <c r="C47" s="419" t="s">
        <v>256</v>
      </c>
      <c r="D47" s="1298"/>
      <c r="E47" s="1261"/>
      <c r="F47" s="1304"/>
      <c r="G47" s="1263"/>
      <c r="H47" s="1263"/>
      <c r="I47" s="1274"/>
      <c r="J47" s="1265"/>
    </row>
    <row r="48" spans="1:12" ht="12" customHeight="1">
      <c r="A48" s="425">
        <v>2024</v>
      </c>
      <c r="B48" s="425"/>
      <c r="C48" s="421" t="s">
        <v>257</v>
      </c>
      <c r="D48" s="1301"/>
      <c r="E48" s="1307"/>
      <c r="F48" s="1308"/>
      <c r="G48" s="1277"/>
      <c r="H48" s="1277"/>
      <c r="I48" s="1278"/>
      <c r="J48" s="1279"/>
    </row>
    <row r="49" spans="1:12" ht="12" customHeight="1">
      <c r="A49" s="425" t="s">
        <v>237</v>
      </c>
      <c r="B49" s="425"/>
      <c r="C49" s="559" t="s">
        <v>258</v>
      </c>
      <c r="D49" s="1294"/>
      <c r="E49" s="1291"/>
      <c r="F49" s="1292"/>
      <c r="G49" s="1292"/>
      <c r="H49" s="1292"/>
      <c r="I49" s="1293"/>
      <c r="J49" s="1294"/>
    </row>
    <row r="50" spans="1:12" ht="4.3499999999999996" customHeight="1">
      <c r="A50" s="540"/>
      <c r="B50" s="540"/>
      <c r="C50" s="1065"/>
      <c r="D50" s="1295"/>
      <c r="E50" s="1296"/>
      <c r="F50" s="1296"/>
      <c r="G50" s="1296"/>
      <c r="H50" s="1296"/>
      <c r="I50" s="1296"/>
      <c r="J50" s="1296"/>
    </row>
    <row r="51" spans="1:12" ht="12" customHeight="1">
      <c r="A51" s="425" t="s">
        <v>500</v>
      </c>
      <c r="B51" s="425"/>
      <c r="C51" s="944"/>
      <c r="D51" s="1297"/>
      <c r="E51" s="1297"/>
      <c r="F51" s="1297"/>
      <c r="G51" s="1297"/>
      <c r="H51" s="1297"/>
      <c r="I51" s="1297"/>
      <c r="J51" s="1297"/>
      <c r="K51" s="425"/>
      <c r="L51" s="418"/>
    </row>
    <row r="52" spans="1:12" ht="12" customHeight="1">
      <c r="A52" s="425" t="s">
        <v>501</v>
      </c>
      <c r="B52" s="425"/>
      <c r="C52" s="419" t="s">
        <v>506</v>
      </c>
      <c r="D52" s="1260">
        <f>'T2 ANSP'!C25</f>
        <v>0</v>
      </c>
      <c r="E52" s="1261"/>
      <c r="F52" s="1304"/>
      <c r="G52" s="1263"/>
      <c r="H52" s="1241">
        <f>D52</f>
        <v>0</v>
      </c>
      <c r="I52" s="1264"/>
      <c r="J52" s="1260">
        <f t="shared" ref="J52:J53" si="7">D52-SUM(E52:I52)</f>
        <v>0</v>
      </c>
    </row>
    <row r="53" spans="1:12" ht="12" customHeight="1">
      <c r="A53" s="425">
        <v>2022</v>
      </c>
      <c r="B53" s="425"/>
      <c r="C53" s="419" t="s">
        <v>259</v>
      </c>
      <c r="D53" s="1260">
        <f>'T2 ANSP'!D25</f>
        <v>0</v>
      </c>
      <c r="E53" s="1261"/>
      <c r="F53" s="1304"/>
      <c r="G53" s="1263"/>
      <c r="H53" s="1263"/>
      <c r="I53" s="1242">
        <f>D53</f>
        <v>0</v>
      </c>
      <c r="J53" s="1260">
        <f t="shared" si="7"/>
        <v>0</v>
      </c>
    </row>
    <row r="54" spans="1:12" ht="12" customHeight="1">
      <c r="A54" s="425">
        <v>2023</v>
      </c>
      <c r="B54" s="425"/>
      <c r="C54" s="419" t="s">
        <v>260</v>
      </c>
      <c r="D54" s="1260">
        <f>'T2 ANSP'!E25</f>
        <v>0</v>
      </c>
      <c r="E54" s="1261"/>
      <c r="F54" s="1304"/>
      <c r="G54" s="1263"/>
      <c r="H54" s="1263"/>
      <c r="I54" s="1274"/>
      <c r="J54" s="1260">
        <f>D54</f>
        <v>0</v>
      </c>
    </row>
    <row r="55" spans="1:12" ht="12" customHeight="1">
      <c r="A55" s="425">
        <v>2024</v>
      </c>
      <c r="B55" s="425"/>
      <c r="C55" s="421" t="s">
        <v>261</v>
      </c>
      <c r="D55" s="1322">
        <f>'T2 ANSP'!F25</f>
        <v>0</v>
      </c>
      <c r="E55" s="1307"/>
      <c r="F55" s="1308"/>
      <c r="G55" s="1308"/>
      <c r="H55" s="1308"/>
      <c r="I55" s="1309"/>
      <c r="J55" s="1322">
        <f>D55</f>
        <v>0</v>
      </c>
    </row>
    <row r="56" spans="1:12" ht="12" customHeight="1">
      <c r="A56" s="425" t="s">
        <v>237</v>
      </c>
      <c r="B56" s="425"/>
      <c r="C56" s="559" t="s">
        <v>262</v>
      </c>
      <c r="D56" s="1280">
        <f t="shared" ref="D56:J56" si="8">SUM(D51:D55)</f>
        <v>0</v>
      </c>
      <c r="E56" s="1291"/>
      <c r="F56" s="1292"/>
      <c r="G56" s="1292"/>
      <c r="H56" s="1282">
        <f t="shared" si="8"/>
        <v>0</v>
      </c>
      <c r="I56" s="1283">
        <f t="shared" si="8"/>
        <v>0</v>
      </c>
      <c r="J56" s="1280">
        <f t="shared" si="8"/>
        <v>0</v>
      </c>
    </row>
    <row r="57" spans="1:12" ht="4.3499999999999996" customHeight="1">
      <c r="A57" s="540"/>
      <c r="B57" s="540"/>
      <c r="C57" s="1065"/>
      <c r="D57" s="1295"/>
      <c r="E57" s="1296"/>
      <c r="F57" s="1296"/>
      <c r="G57" s="1296"/>
      <c r="H57" s="1296"/>
      <c r="I57" s="1296"/>
      <c r="J57" s="1296"/>
    </row>
    <row r="58" spans="1:12" ht="12" customHeight="1">
      <c r="A58" s="425" t="s">
        <v>500</v>
      </c>
      <c r="B58" s="425"/>
      <c r="C58" s="944"/>
      <c r="D58" s="1297"/>
      <c r="E58" s="1297"/>
      <c r="F58" s="1297"/>
      <c r="G58" s="1297"/>
      <c r="H58" s="1297"/>
      <c r="I58" s="1297"/>
      <c r="J58" s="1297"/>
      <c r="K58" s="425"/>
      <c r="L58" s="418"/>
    </row>
    <row r="59" spans="1:12" ht="12" customHeight="1">
      <c r="A59" s="425" t="s">
        <v>501</v>
      </c>
      <c r="B59" s="425"/>
      <c r="C59" s="419" t="s">
        <v>507</v>
      </c>
      <c r="D59" s="1260">
        <f>'T2 ANSP'!C26</f>
        <v>0</v>
      </c>
      <c r="E59" s="1261"/>
      <c r="F59" s="1304"/>
      <c r="G59" s="1263"/>
      <c r="H59" s="1241">
        <f>D59</f>
        <v>0</v>
      </c>
      <c r="I59" s="1264"/>
      <c r="J59" s="1260">
        <f t="shared" ref="J59:J60" si="9">D59-SUM(E59:I59)</f>
        <v>0</v>
      </c>
    </row>
    <row r="60" spans="1:12" ht="12" customHeight="1">
      <c r="A60" s="425">
        <v>2022</v>
      </c>
      <c r="B60" s="425"/>
      <c r="C60" s="419" t="s">
        <v>263</v>
      </c>
      <c r="D60" s="1260">
        <f>'T2 ANSP'!D26</f>
        <v>0</v>
      </c>
      <c r="E60" s="1261"/>
      <c r="F60" s="1304"/>
      <c r="G60" s="1263"/>
      <c r="H60" s="1263"/>
      <c r="I60" s="1242">
        <f>D60</f>
        <v>0</v>
      </c>
      <c r="J60" s="1260">
        <f t="shared" si="9"/>
        <v>0</v>
      </c>
    </row>
    <row r="61" spans="1:12" ht="12" customHeight="1">
      <c r="A61" s="425">
        <v>2023</v>
      </c>
      <c r="B61" s="425"/>
      <c r="C61" s="419" t="s">
        <v>264</v>
      </c>
      <c r="D61" s="1260">
        <f>'T2 ANSP'!E26</f>
        <v>0</v>
      </c>
      <c r="E61" s="1261"/>
      <c r="F61" s="1304"/>
      <c r="G61" s="1263"/>
      <c r="H61" s="1263"/>
      <c r="I61" s="1274"/>
      <c r="J61" s="1260">
        <f>D61</f>
        <v>0</v>
      </c>
    </row>
    <row r="62" spans="1:12" ht="12" customHeight="1">
      <c r="A62" s="425">
        <v>2024</v>
      </c>
      <c r="B62" s="425"/>
      <c r="C62" s="421" t="s">
        <v>265</v>
      </c>
      <c r="D62" s="1322">
        <f>'T2 ANSP'!F26</f>
        <v>0</v>
      </c>
      <c r="E62" s="1307"/>
      <c r="F62" s="1308"/>
      <c r="G62" s="1308"/>
      <c r="H62" s="1308"/>
      <c r="I62" s="1309"/>
      <c r="J62" s="1322">
        <f>D62</f>
        <v>0</v>
      </c>
    </row>
    <row r="63" spans="1:12" ht="12" customHeight="1">
      <c r="A63" s="425" t="s">
        <v>237</v>
      </c>
      <c r="B63" s="425"/>
      <c r="C63" s="559" t="s">
        <v>266</v>
      </c>
      <c r="D63" s="1280">
        <f t="shared" ref="D63:J63" si="10">SUM(D58:D62)</f>
        <v>0</v>
      </c>
      <c r="E63" s="1291"/>
      <c r="F63" s="1292"/>
      <c r="G63" s="1292"/>
      <c r="H63" s="1282">
        <f t="shared" si="10"/>
        <v>0</v>
      </c>
      <c r="I63" s="1283">
        <f t="shared" si="10"/>
        <v>0</v>
      </c>
      <c r="J63" s="1280">
        <f t="shared" si="10"/>
        <v>0</v>
      </c>
    </row>
    <row r="64" spans="1:12" ht="4.3499999999999996" customHeight="1">
      <c r="A64" s="540"/>
      <c r="B64" s="540"/>
      <c r="C64" s="1065"/>
      <c r="D64" s="1295"/>
      <c r="E64" s="1296"/>
      <c r="F64" s="1296"/>
      <c r="G64" s="1296"/>
      <c r="H64" s="1296"/>
      <c r="I64" s="1296"/>
      <c r="J64" s="1296"/>
    </row>
    <row r="65" spans="1:12" ht="12" customHeight="1">
      <c r="A65" s="425" t="s">
        <v>500</v>
      </c>
      <c r="B65" s="425"/>
      <c r="C65" s="944"/>
      <c r="D65" s="1297"/>
      <c r="E65" s="1297"/>
      <c r="F65" s="1297"/>
      <c r="G65" s="1297"/>
      <c r="H65" s="1297"/>
      <c r="I65" s="1297"/>
      <c r="J65" s="1297"/>
      <c r="K65" s="425"/>
      <c r="L65" s="418"/>
    </row>
    <row r="66" spans="1:12" ht="12" customHeight="1">
      <c r="A66" s="425" t="s">
        <v>501</v>
      </c>
      <c r="B66" s="425"/>
      <c r="C66" s="419" t="s">
        <v>508</v>
      </c>
      <c r="D66" s="1260">
        <f>'T2 ANSP'!C27</f>
        <v>0</v>
      </c>
      <c r="E66" s="1261"/>
      <c r="F66" s="1304"/>
      <c r="G66" s="1263"/>
      <c r="H66" s="1241">
        <f>+D66</f>
        <v>0</v>
      </c>
      <c r="I66" s="1264"/>
      <c r="J66" s="1260">
        <f t="shared" ref="J66:J67" si="11">D66-SUM(E66:I66)</f>
        <v>0</v>
      </c>
    </row>
    <row r="67" spans="1:12" ht="12" customHeight="1">
      <c r="A67" s="425">
        <v>2022</v>
      </c>
      <c r="B67" s="425"/>
      <c r="C67" s="419" t="s">
        <v>267</v>
      </c>
      <c r="D67" s="1260">
        <f>'T2 ANSP'!D27</f>
        <v>0</v>
      </c>
      <c r="E67" s="1261"/>
      <c r="F67" s="1304"/>
      <c r="G67" s="1263"/>
      <c r="H67" s="1263"/>
      <c r="I67" s="1242">
        <f>+D67</f>
        <v>0</v>
      </c>
      <c r="J67" s="1260">
        <f t="shared" si="11"/>
        <v>0</v>
      </c>
    </row>
    <row r="68" spans="1:12" ht="12" customHeight="1">
      <c r="A68" s="425">
        <v>2023</v>
      </c>
      <c r="B68" s="425"/>
      <c r="C68" s="419" t="s">
        <v>268</v>
      </c>
      <c r="D68" s="1260">
        <f>'T2 ANSP'!E27</f>
        <v>0</v>
      </c>
      <c r="E68" s="1261"/>
      <c r="F68" s="1304"/>
      <c r="G68" s="1263"/>
      <c r="H68" s="1263"/>
      <c r="I68" s="1274"/>
      <c r="J68" s="1260">
        <f>D68</f>
        <v>0</v>
      </c>
    </row>
    <row r="69" spans="1:12" ht="12" customHeight="1">
      <c r="A69" s="425">
        <v>2024</v>
      </c>
      <c r="B69" s="425"/>
      <c r="C69" s="421" t="s">
        <v>269</v>
      </c>
      <c r="D69" s="1322">
        <f>'T2 ANSP'!F27</f>
        <v>0</v>
      </c>
      <c r="E69" s="1307"/>
      <c r="F69" s="1308"/>
      <c r="G69" s="1308"/>
      <c r="H69" s="1308"/>
      <c r="I69" s="1309"/>
      <c r="J69" s="1322">
        <f>D69</f>
        <v>0</v>
      </c>
    </row>
    <row r="70" spans="1:12" ht="12" customHeight="1">
      <c r="A70" s="425" t="s">
        <v>237</v>
      </c>
      <c r="B70" s="425"/>
      <c r="C70" s="559" t="s">
        <v>270</v>
      </c>
      <c r="D70" s="1280">
        <f t="shared" ref="D70:J70" si="12">SUM(D65:D69)</f>
        <v>0</v>
      </c>
      <c r="E70" s="1291"/>
      <c r="F70" s="1292"/>
      <c r="G70" s="1292"/>
      <c r="H70" s="1282">
        <f t="shared" si="12"/>
        <v>0</v>
      </c>
      <c r="I70" s="1283">
        <f t="shared" si="12"/>
        <v>0</v>
      </c>
      <c r="J70" s="1280">
        <f t="shared" si="12"/>
        <v>0</v>
      </c>
    </row>
    <row r="71" spans="1:12" ht="4.3499999999999996" customHeight="1">
      <c r="A71" s="540"/>
      <c r="B71" s="540"/>
      <c r="C71" s="427"/>
      <c r="D71" s="1310"/>
      <c r="E71" s="1311"/>
      <c r="F71" s="1311"/>
      <c r="G71" s="1311"/>
      <c r="H71" s="1311"/>
      <c r="I71" s="1311"/>
      <c r="J71" s="1311"/>
    </row>
    <row r="72" spans="1:12" ht="12" customHeight="1">
      <c r="A72" s="425">
        <v>2017</v>
      </c>
      <c r="B72" s="425"/>
      <c r="C72" s="417" t="s">
        <v>271</v>
      </c>
      <c r="D72" s="1254">
        <v>0</v>
      </c>
      <c r="E72" s="1312">
        <v>0</v>
      </c>
      <c r="F72" s="1303">
        <v>0</v>
      </c>
      <c r="G72" s="1303">
        <v>0</v>
      </c>
      <c r="H72" s="1303">
        <v>0</v>
      </c>
      <c r="I72" s="1303">
        <v>0</v>
      </c>
      <c r="J72" s="1254">
        <f t="shared" ref="J72:J74" si="13">D72-SUM(E72:I72)</f>
        <v>0</v>
      </c>
    </row>
    <row r="73" spans="1:12" ht="12" customHeight="1">
      <c r="A73" s="425">
        <v>2018</v>
      </c>
      <c r="B73" s="425"/>
      <c r="C73" s="419" t="s">
        <v>272</v>
      </c>
      <c r="D73" s="1260">
        <v>0</v>
      </c>
      <c r="E73" s="1313">
        <v>0</v>
      </c>
      <c r="F73" s="1314">
        <v>0</v>
      </c>
      <c r="G73" s="1314">
        <v>0</v>
      </c>
      <c r="H73" s="1314">
        <v>0</v>
      </c>
      <c r="I73" s="1314">
        <v>0</v>
      </c>
      <c r="J73" s="1260">
        <f t="shared" si="13"/>
        <v>0</v>
      </c>
    </row>
    <row r="74" spans="1:12" ht="12" customHeight="1">
      <c r="A74" s="425">
        <v>2019</v>
      </c>
      <c r="B74" s="425"/>
      <c r="C74" s="419" t="s">
        <v>273</v>
      </c>
      <c r="D74" s="1322">
        <v>0</v>
      </c>
      <c r="E74" s="1307"/>
      <c r="F74" s="1362">
        <v>0</v>
      </c>
      <c r="G74" s="1362">
        <v>0</v>
      </c>
      <c r="H74" s="1362">
        <v>0</v>
      </c>
      <c r="I74" s="1363">
        <v>0</v>
      </c>
      <c r="J74" s="1322">
        <f t="shared" si="13"/>
        <v>0</v>
      </c>
    </row>
    <row r="75" spans="1:12" ht="12" customHeight="1">
      <c r="A75" s="425" t="s">
        <v>237</v>
      </c>
      <c r="B75" s="425"/>
      <c r="C75" s="559" t="s">
        <v>274</v>
      </c>
      <c r="D75" s="1280">
        <f>SUM(D72:D74)</f>
        <v>0</v>
      </c>
      <c r="E75" s="1281">
        <f t="shared" ref="E75:J75" si="14">SUM(E72:E74)</f>
        <v>0</v>
      </c>
      <c r="F75" s="1282">
        <f t="shared" si="14"/>
        <v>0</v>
      </c>
      <c r="G75" s="1282">
        <f t="shared" si="14"/>
        <v>0</v>
      </c>
      <c r="H75" s="1282">
        <f t="shared" si="14"/>
        <v>0</v>
      </c>
      <c r="I75" s="1283">
        <f t="shared" si="14"/>
        <v>0</v>
      </c>
      <c r="J75" s="1280">
        <f t="shared" si="14"/>
        <v>0</v>
      </c>
    </row>
    <row r="76" spans="1:12" ht="4.3499999999999996" customHeight="1">
      <c r="A76" s="540"/>
      <c r="B76" s="540"/>
      <c r="C76" s="427"/>
      <c r="D76" s="1310"/>
      <c r="E76" s="1311"/>
      <c r="F76" s="1311"/>
      <c r="G76" s="1311"/>
      <c r="H76" s="1311"/>
      <c r="I76" s="1311"/>
      <c r="J76" s="1311"/>
    </row>
    <row r="77" spans="1:12" ht="12" customHeight="1">
      <c r="A77" s="425">
        <v>2017</v>
      </c>
      <c r="B77" s="425"/>
      <c r="C77" s="417" t="s">
        <v>275</v>
      </c>
      <c r="D77" s="1254">
        <v>0</v>
      </c>
      <c r="E77" s="1312">
        <v>0</v>
      </c>
      <c r="F77" s="1303">
        <v>0</v>
      </c>
      <c r="G77" s="1303">
        <v>0</v>
      </c>
      <c r="H77" s="1303">
        <v>0</v>
      </c>
      <c r="I77" s="1319">
        <v>0</v>
      </c>
      <c r="J77" s="1254">
        <f t="shared" ref="J77" si="15">D77-SUM(E77:I77)</f>
        <v>0</v>
      </c>
    </row>
    <row r="78" spans="1:12" ht="12" customHeight="1">
      <c r="A78" s="425">
        <v>2018</v>
      </c>
      <c r="B78" s="425"/>
      <c r="C78" s="419" t="s">
        <v>276</v>
      </c>
      <c r="D78" s="1260">
        <v>4733.1674712309805</v>
      </c>
      <c r="E78" s="1313">
        <f>+D78</f>
        <v>4733.1674712309805</v>
      </c>
      <c r="F78" s="1263"/>
      <c r="G78" s="1263"/>
      <c r="H78" s="1263"/>
      <c r="I78" s="1274"/>
      <c r="J78" s="1265"/>
    </row>
    <row r="79" spans="1:12" ht="12" customHeight="1">
      <c r="A79" s="425">
        <v>2019</v>
      </c>
      <c r="B79" s="425"/>
      <c r="C79" s="419" t="s">
        <v>277</v>
      </c>
      <c r="D79" s="1322">
        <v>4763.1107065905016</v>
      </c>
      <c r="E79" s="1307"/>
      <c r="F79" s="1362">
        <f>+D79</f>
        <v>4763.1107065905016</v>
      </c>
      <c r="G79" s="1263"/>
      <c r="H79" s="1263"/>
      <c r="I79" s="1264"/>
      <c r="J79" s="1265"/>
    </row>
    <row r="80" spans="1:12" ht="12" customHeight="1">
      <c r="A80" s="425" t="s">
        <v>232</v>
      </c>
      <c r="B80" s="425"/>
      <c r="C80" s="556" t="s">
        <v>278</v>
      </c>
      <c r="D80" s="1266">
        <f>SUM(D77:D79)</f>
        <v>9496.2781778214812</v>
      </c>
      <c r="E80" s="1325">
        <f>SUM(E77:E79)</f>
        <v>4733.1674712309805</v>
      </c>
      <c r="F80" s="1268">
        <f t="shared" ref="F80:I80" si="16">SUM(F77:F79)</f>
        <v>4763.1107065905016</v>
      </c>
      <c r="G80" s="1268">
        <f t="shared" si="16"/>
        <v>0</v>
      </c>
      <c r="H80" s="1268">
        <f t="shared" si="16"/>
        <v>0</v>
      </c>
      <c r="I80" s="1320">
        <f t="shared" si="16"/>
        <v>0</v>
      </c>
      <c r="J80" s="1266">
        <f>SUM(J77:J79)</f>
        <v>0</v>
      </c>
    </row>
    <row r="81" spans="1:12" ht="12" customHeight="1">
      <c r="A81" s="425" t="s">
        <v>500</v>
      </c>
      <c r="B81" s="425"/>
      <c r="C81" s="1066"/>
      <c r="D81" s="1315"/>
      <c r="E81" s="1315"/>
      <c r="F81" s="1315"/>
      <c r="G81" s="1315"/>
      <c r="H81" s="1315"/>
      <c r="I81" s="1315"/>
      <c r="J81" s="1315"/>
      <c r="K81" s="425"/>
      <c r="L81" s="418"/>
    </row>
    <row r="82" spans="1:12" ht="12" customHeight="1">
      <c r="A82" s="425" t="s">
        <v>500</v>
      </c>
      <c r="B82" s="425"/>
      <c r="C82" s="944"/>
      <c r="D82" s="1297"/>
      <c r="E82" s="1297"/>
      <c r="F82" s="1297"/>
      <c r="G82" s="1297"/>
      <c r="H82" s="1297"/>
      <c r="I82" s="1297"/>
      <c r="J82" s="1297"/>
      <c r="K82" s="425"/>
      <c r="L82" s="418"/>
    </row>
    <row r="83" spans="1:12" ht="12" customHeight="1">
      <c r="A83" s="425">
        <v>2022</v>
      </c>
      <c r="B83" s="425"/>
      <c r="C83" s="419" t="s">
        <v>279</v>
      </c>
      <c r="D83" s="1260">
        <f>'T2 ANSP'!D54</f>
        <v>0</v>
      </c>
      <c r="E83" s="1261"/>
      <c r="F83" s="1304"/>
      <c r="G83" s="1263"/>
      <c r="H83" s="1263"/>
      <c r="I83" s="1305">
        <f>D83</f>
        <v>0</v>
      </c>
      <c r="J83" s="1265"/>
    </row>
    <row r="84" spans="1:12" ht="12" customHeight="1">
      <c r="A84" s="425">
        <v>2023</v>
      </c>
      <c r="B84" s="425"/>
      <c r="C84" s="419" t="s">
        <v>280</v>
      </c>
      <c r="D84" s="1260">
        <f>'T2 ANSP'!E54</f>
        <v>0</v>
      </c>
      <c r="E84" s="1261"/>
      <c r="F84" s="1304"/>
      <c r="G84" s="1263"/>
      <c r="H84" s="1263"/>
      <c r="I84" s="1274"/>
      <c r="J84" s="1260">
        <f>D84</f>
        <v>0</v>
      </c>
    </row>
    <row r="85" spans="1:12" ht="12" customHeight="1">
      <c r="A85" s="425">
        <v>2024</v>
      </c>
      <c r="B85" s="425"/>
      <c r="C85" s="421" t="s">
        <v>281</v>
      </c>
      <c r="D85" s="1322">
        <f>'T2 ANSP'!F54</f>
        <v>0</v>
      </c>
      <c r="E85" s="1307"/>
      <c r="F85" s="1308"/>
      <c r="G85" s="1308"/>
      <c r="H85" s="1308"/>
      <c r="I85" s="1309"/>
      <c r="J85" s="1322">
        <f>D85</f>
        <v>0</v>
      </c>
    </row>
    <row r="86" spans="1:12" ht="12" customHeight="1">
      <c r="A86" s="425" t="s">
        <v>237</v>
      </c>
      <c r="B86" s="425"/>
      <c r="C86" s="559" t="s">
        <v>282</v>
      </c>
      <c r="D86" s="1280">
        <f>SUM(D80:D85)</f>
        <v>9496.2781778214812</v>
      </c>
      <c r="E86" s="1281">
        <f>SUM(E80:E85)</f>
        <v>4733.1674712309805</v>
      </c>
      <c r="F86" s="1282">
        <f t="shared" ref="F86:I86" si="17">SUM(F80:F85)</f>
        <v>4763.1107065905016</v>
      </c>
      <c r="G86" s="1282">
        <f t="shared" si="17"/>
        <v>0</v>
      </c>
      <c r="H86" s="1282">
        <f t="shared" si="17"/>
        <v>0</v>
      </c>
      <c r="I86" s="1283">
        <f t="shared" si="17"/>
        <v>0</v>
      </c>
      <c r="J86" s="1280">
        <f>SUM(J80:J85)</f>
        <v>0</v>
      </c>
    </row>
    <row r="87" spans="1:12" ht="4.3499999999999996" customHeight="1">
      <c r="A87" s="540"/>
      <c r="B87" s="540"/>
      <c r="C87" s="427"/>
      <c r="D87" s="1310"/>
      <c r="E87" s="1310"/>
      <c r="F87" s="1310"/>
      <c r="G87" s="1310"/>
      <c r="H87" s="1310"/>
      <c r="I87" s="1318"/>
      <c r="J87" s="1310"/>
    </row>
    <row r="88" spans="1:12" ht="12" customHeight="1">
      <c r="A88" s="425">
        <v>2017</v>
      </c>
      <c r="B88" s="425"/>
      <c r="C88" s="417" t="s">
        <v>283</v>
      </c>
      <c r="D88" s="1254">
        <v>0</v>
      </c>
      <c r="E88" s="1312">
        <v>0</v>
      </c>
      <c r="F88" s="1303">
        <v>0</v>
      </c>
      <c r="G88" s="1303">
        <v>0</v>
      </c>
      <c r="H88" s="1303">
        <v>0</v>
      </c>
      <c r="I88" s="1319">
        <v>0</v>
      </c>
      <c r="J88" s="1259"/>
    </row>
    <row r="89" spans="1:12" ht="12" customHeight="1">
      <c r="A89" s="425">
        <v>2018</v>
      </c>
      <c r="B89" s="425"/>
      <c r="C89" s="419" t="s">
        <v>284</v>
      </c>
      <c r="D89" s="1260">
        <v>0</v>
      </c>
      <c r="E89" s="1313">
        <f>+D89</f>
        <v>0</v>
      </c>
      <c r="F89" s="1314">
        <v>0</v>
      </c>
      <c r="G89" s="1314">
        <v>0</v>
      </c>
      <c r="H89" s="1314">
        <v>0</v>
      </c>
      <c r="I89" s="1305">
        <v>0</v>
      </c>
      <c r="J89" s="1265"/>
    </row>
    <row r="90" spans="1:12" ht="12" customHeight="1">
      <c r="A90" s="425">
        <v>2019</v>
      </c>
      <c r="B90" s="425"/>
      <c r="C90" s="419" t="s">
        <v>285</v>
      </c>
      <c r="D90" s="1322">
        <v>0</v>
      </c>
      <c r="E90" s="1307"/>
      <c r="F90" s="1362">
        <f>+D90</f>
        <v>0</v>
      </c>
      <c r="G90" s="1362">
        <v>0</v>
      </c>
      <c r="H90" s="1362">
        <v>0</v>
      </c>
      <c r="I90" s="1363">
        <v>0</v>
      </c>
      <c r="J90" s="1265"/>
    </row>
    <row r="91" spans="1:12" ht="12" customHeight="1">
      <c r="A91" s="425" t="s">
        <v>232</v>
      </c>
      <c r="B91" s="425"/>
      <c r="C91" s="556" t="s">
        <v>286</v>
      </c>
      <c r="D91" s="1266">
        <f>SUM(D88:D90)</f>
        <v>0</v>
      </c>
      <c r="E91" s="1325">
        <f t="shared" ref="E91:H91" si="18">SUM(E88:E90)</f>
        <v>0</v>
      </c>
      <c r="F91" s="1268">
        <f t="shared" si="18"/>
        <v>0</v>
      </c>
      <c r="G91" s="1268">
        <f t="shared" si="18"/>
        <v>0</v>
      </c>
      <c r="H91" s="1268">
        <f t="shared" si="18"/>
        <v>0</v>
      </c>
      <c r="I91" s="1320">
        <f>SUM(I88:I90)</f>
        <v>0</v>
      </c>
      <c r="J91" s="1290"/>
    </row>
    <row r="92" spans="1:12" ht="12" customHeight="1">
      <c r="A92" s="425" t="s">
        <v>500</v>
      </c>
      <c r="B92" s="425"/>
      <c r="C92" s="943"/>
      <c r="D92" s="1272"/>
      <c r="E92" s="1272"/>
      <c r="F92" s="1272"/>
      <c r="G92" s="1272"/>
      <c r="H92" s="1272"/>
      <c r="I92" s="1272"/>
      <c r="J92" s="1272"/>
      <c r="K92" s="425"/>
      <c r="L92" s="418"/>
    </row>
    <row r="93" spans="1:12" ht="12" customHeight="1">
      <c r="A93" s="425" t="s">
        <v>501</v>
      </c>
      <c r="B93" s="425"/>
      <c r="C93" s="419" t="s">
        <v>517</v>
      </c>
      <c r="D93" s="1260">
        <f>'T2 ANSP'!C59</f>
        <v>0</v>
      </c>
      <c r="E93" s="1261"/>
      <c r="F93" s="1304"/>
      <c r="G93" s="1263"/>
      <c r="H93" s="1314">
        <f>+D93</f>
        <v>0</v>
      </c>
      <c r="I93" s="1264"/>
      <c r="J93" s="1265"/>
    </row>
    <row r="94" spans="1:12" ht="12" customHeight="1">
      <c r="A94" s="425">
        <v>2022</v>
      </c>
      <c r="B94" s="425"/>
      <c r="C94" s="419" t="s">
        <v>287</v>
      </c>
      <c r="D94" s="1260">
        <f>'T2 ANSP'!D59</f>
        <v>0</v>
      </c>
      <c r="E94" s="1261"/>
      <c r="F94" s="1304"/>
      <c r="G94" s="1263"/>
      <c r="H94" s="1263"/>
      <c r="I94" s="1305">
        <f>+D94</f>
        <v>0</v>
      </c>
      <c r="J94" s="1265"/>
    </row>
    <row r="95" spans="1:12" ht="12" customHeight="1">
      <c r="A95" s="425">
        <v>2023</v>
      </c>
      <c r="B95" s="425"/>
      <c r="C95" s="419" t="s">
        <v>288</v>
      </c>
      <c r="D95" s="1260">
        <f>'T2 ANSP'!E59</f>
        <v>0</v>
      </c>
      <c r="E95" s="1261"/>
      <c r="F95" s="1304"/>
      <c r="G95" s="1263"/>
      <c r="H95" s="1263"/>
      <c r="I95" s="1274"/>
      <c r="J95" s="1260">
        <f>+D95</f>
        <v>0</v>
      </c>
    </row>
    <row r="96" spans="1:12" ht="12" customHeight="1">
      <c r="A96" s="425">
        <v>2024</v>
      </c>
      <c r="B96" s="425"/>
      <c r="C96" s="421" t="s">
        <v>289</v>
      </c>
      <c r="D96" s="1322">
        <f>'T2 ANSP'!F59</f>
        <v>0</v>
      </c>
      <c r="E96" s="1307"/>
      <c r="F96" s="1308"/>
      <c r="G96" s="1308"/>
      <c r="H96" s="1308"/>
      <c r="I96" s="1309"/>
      <c r="J96" s="1322">
        <f>+D96</f>
        <v>0</v>
      </c>
    </row>
    <row r="97" spans="1:12" ht="12" customHeight="1">
      <c r="A97" s="425" t="s">
        <v>237</v>
      </c>
      <c r="B97" s="425"/>
      <c r="C97" s="559" t="s">
        <v>290</v>
      </c>
      <c r="D97" s="1280">
        <f>SUM(D91:D96)</f>
        <v>0</v>
      </c>
      <c r="E97" s="1281">
        <f t="shared" ref="E97:I97" si="19">SUM(E91:E96)</f>
        <v>0</v>
      </c>
      <c r="F97" s="1282">
        <f t="shared" si="19"/>
        <v>0</v>
      </c>
      <c r="G97" s="1282">
        <f t="shared" si="19"/>
        <v>0</v>
      </c>
      <c r="H97" s="1282">
        <f t="shared" si="19"/>
        <v>0</v>
      </c>
      <c r="I97" s="1283">
        <f t="shared" si="19"/>
        <v>0</v>
      </c>
      <c r="J97" s="1280">
        <f>SUM(J91:J96)</f>
        <v>0</v>
      </c>
    </row>
    <row r="98" spans="1:12" ht="4.3499999999999996" customHeight="1">
      <c r="A98" s="540"/>
      <c r="B98" s="540"/>
      <c r="C98" s="427"/>
      <c r="D98" s="1310"/>
      <c r="E98" s="1311"/>
      <c r="F98" s="1311"/>
      <c r="G98" s="1311"/>
      <c r="H98" s="1311"/>
      <c r="I98" s="1311"/>
      <c r="J98" s="1311"/>
    </row>
    <row r="99" spans="1:12" ht="12" customHeight="1">
      <c r="A99" s="425">
        <v>2017</v>
      </c>
      <c r="B99" s="425"/>
      <c r="C99" s="417" t="s">
        <v>291</v>
      </c>
      <c r="D99" s="1254">
        <v>0</v>
      </c>
      <c r="E99" s="1312">
        <v>0</v>
      </c>
      <c r="F99" s="1303">
        <v>0</v>
      </c>
      <c r="G99" s="1303">
        <v>0</v>
      </c>
      <c r="H99" s="1303">
        <v>0</v>
      </c>
      <c r="I99" s="1319">
        <v>0</v>
      </c>
      <c r="J99" s="1254">
        <f t="shared" ref="J99:J101" si="20">D99-SUM(E99:I99)</f>
        <v>0</v>
      </c>
    </row>
    <row r="100" spans="1:12" ht="12" customHeight="1">
      <c r="A100" s="425">
        <v>2018</v>
      </c>
      <c r="B100" s="425"/>
      <c r="C100" s="419" t="s">
        <v>292</v>
      </c>
      <c r="D100" s="1260">
        <v>5072.104699629007</v>
      </c>
      <c r="E100" s="1313">
        <f>+D100</f>
        <v>5072.104699629007</v>
      </c>
      <c r="F100" s="1314">
        <v>0</v>
      </c>
      <c r="G100" s="1314">
        <v>0</v>
      </c>
      <c r="H100" s="1314">
        <v>0</v>
      </c>
      <c r="I100" s="1305">
        <v>0</v>
      </c>
      <c r="J100" s="1260">
        <f t="shared" si="20"/>
        <v>0</v>
      </c>
    </row>
    <row r="101" spans="1:12" ht="12" customHeight="1">
      <c r="A101" s="425">
        <v>2019</v>
      </c>
      <c r="B101" s="425"/>
      <c r="C101" s="419" t="s">
        <v>293</v>
      </c>
      <c r="D101" s="1322">
        <v>7854.7130081010137</v>
      </c>
      <c r="E101" s="1307"/>
      <c r="F101" s="1362">
        <f>+D101</f>
        <v>7854.7130081010137</v>
      </c>
      <c r="G101" s="1362">
        <v>0</v>
      </c>
      <c r="H101" s="1362">
        <v>0</v>
      </c>
      <c r="I101" s="1363">
        <v>0</v>
      </c>
      <c r="J101" s="1322">
        <f t="shared" si="20"/>
        <v>0</v>
      </c>
    </row>
    <row r="102" spans="1:12" ht="12" customHeight="1">
      <c r="A102" s="425" t="s">
        <v>232</v>
      </c>
      <c r="B102" s="425"/>
      <c r="C102" s="556" t="s">
        <v>294</v>
      </c>
      <c r="D102" s="1266">
        <f>SUM(D99:D101)</f>
        <v>12926.817707730021</v>
      </c>
      <c r="E102" s="1325">
        <f>SUM(E99:E101)</f>
        <v>5072.104699629007</v>
      </c>
      <c r="F102" s="1268">
        <f t="shared" ref="F102:I102" si="21">SUM(F99:F101)</f>
        <v>7854.7130081010137</v>
      </c>
      <c r="G102" s="1268">
        <f t="shared" si="21"/>
        <v>0</v>
      </c>
      <c r="H102" s="1268">
        <f t="shared" si="21"/>
        <v>0</v>
      </c>
      <c r="I102" s="1320">
        <f t="shared" si="21"/>
        <v>0</v>
      </c>
      <c r="J102" s="1266">
        <f>SUM(J99:J101)</f>
        <v>0</v>
      </c>
    </row>
    <row r="103" spans="1:12" ht="12" customHeight="1">
      <c r="A103" s="425" t="s">
        <v>501</v>
      </c>
      <c r="B103" s="425"/>
      <c r="C103" s="1393" t="s">
        <v>720</v>
      </c>
      <c r="D103" s="1395">
        <f>(IF('T1'!R68&gt;0,((E11+E22+E75+E80+E91+E102+E108+E119+E130+E141+E152)*-('T1'!R68/'T2'!C104-1)),0))</f>
        <v>24888.143520841521</v>
      </c>
      <c r="E103" s="1396"/>
      <c r="F103" s="1397"/>
      <c r="G103" s="1239">
        <f>D103</f>
        <v>24888.143520841521</v>
      </c>
      <c r="H103" s="1239">
        <v>0</v>
      </c>
      <c r="I103" s="1239">
        <v>0</v>
      </c>
      <c r="J103" s="1254">
        <f>D103-SUM(E103:I103)</f>
        <v>0</v>
      </c>
      <c r="K103" s="425"/>
      <c r="L103" s="418"/>
    </row>
    <row r="104" spans="1:12" ht="12" customHeight="1">
      <c r="A104" s="425" t="s">
        <v>501</v>
      </c>
      <c r="B104" s="425"/>
      <c r="C104" s="1393" t="s">
        <v>721</v>
      </c>
      <c r="D104" s="1436">
        <f>(IF('T1'!L68&gt;0,((F11+F22+F75+F80+F91+F102+F108+F119+F130+F141+F152)*-('T1'!L68/'T2'!C105-1)),0))</f>
        <v>30331.011498387408</v>
      </c>
      <c r="E104" s="1398"/>
      <c r="F104" s="1399"/>
      <c r="G104" s="1400"/>
      <c r="H104" s="1439">
        <f>+D104</f>
        <v>30331.011498387408</v>
      </c>
      <c r="I104" s="1242">
        <v>0</v>
      </c>
      <c r="J104" s="1260">
        <f>D104-SUM(E104:I104)</f>
        <v>0</v>
      </c>
    </row>
    <row r="105" spans="1:12" ht="12" customHeight="1">
      <c r="A105" s="425">
        <v>2022</v>
      </c>
      <c r="B105" s="425"/>
      <c r="C105" s="1393" t="s">
        <v>295</v>
      </c>
      <c r="D105" s="1260">
        <f>(G11+G22+G75+G80+G91+G102+G108+G119+G130+G141+G152)*-'T2'!D40</f>
        <v>0</v>
      </c>
      <c r="E105" s="1398"/>
      <c r="F105" s="1399"/>
      <c r="G105" s="1400"/>
      <c r="H105" s="1299"/>
      <c r="I105" s="1242">
        <f>+D105</f>
        <v>0</v>
      </c>
      <c r="J105" s="1260">
        <f>D105-SUM(E105:I105)</f>
        <v>0</v>
      </c>
    </row>
    <row r="106" spans="1:12" ht="12" customHeight="1">
      <c r="A106" s="425">
        <v>2023</v>
      </c>
      <c r="B106" s="425"/>
      <c r="C106" s="1393" t="s">
        <v>296</v>
      </c>
      <c r="D106" s="1260">
        <f>(H11+H22+H75+H80+H91+H102+H108+H119+H130+H141+H152)*-'T2'!E40</f>
        <v>0</v>
      </c>
      <c r="E106" s="1398"/>
      <c r="F106" s="1399"/>
      <c r="G106" s="1400"/>
      <c r="H106" s="1400"/>
      <c r="I106" s="1401"/>
      <c r="J106" s="1260">
        <f>D106-SUM(E106:I106)</f>
        <v>0</v>
      </c>
    </row>
    <row r="107" spans="1:12" ht="12" customHeight="1">
      <c r="A107" s="425">
        <v>2024</v>
      </c>
      <c r="B107" s="425"/>
      <c r="C107" s="1394" t="s">
        <v>297</v>
      </c>
      <c r="D107" s="1306">
        <f>(I11+I22+I75+I80+I91+I102+I108+I119+I130+I141+I152)*-'T2'!F40</f>
        <v>0</v>
      </c>
      <c r="E107" s="1402"/>
      <c r="F107" s="1403"/>
      <c r="G107" s="1404"/>
      <c r="H107" s="1404"/>
      <c r="I107" s="1405"/>
      <c r="J107" s="1306">
        <f>D107-SUM(E107:I107)</f>
        <v>0</v>
      </c>
    </row>
    <row r="108" spans="1:12" ht="12" customHeight="1">
      <c r="A108" s="425" t="s">
        <v>232</v>
      </c>
      <c r="B108" s="425"/>
      <c r="C108" s="556" t="s">
        <v>298</v>
      </c>
      <c r="D108" s="1306">
        <f t="shared" ref="D108:J108" si="22">SUM(D103:D107)</f>
        <v>55219.155019228929</v>
      </c>
      <c r="E108" s="1325">
        <f t="shared" si="22"/>
        <v>0</v>
      </c>
      <c r="F108" s="1268">
        <f t="shared" si="22"/>
        <v>0</v>
      </c>
      <c r="G108" s="1268">
        <f>SUM(G103:G107)</f>
        <v>24888.143520841521</v>
      </c>
      <c r="H108" s="1268">
        <f t="shared" si="22"/>
        <v>30331.011498387408</v>
      </c>
      <c r="I108" s="1320">
        <f t="shared" si="22"/>
        <v>0</v>
      </c>
      <c r="J108" s="1266">
        <f t="shared" si="22"/>
        <v>0</v>
      </c>
    </row>
    <row r="109" spans="1:12" ht="12" customHeight="1">
      <c r="A109" s="425" t="s">
        <v>500</v>
      </c>
      <c r="B109" s="425"/>
      <c r="C109" s="943"/>
      <c r="D109" s="1272"/>
      <c r="E109" s="1272"/>
      <c r="F109" s="1272"/>
      <c r="G109" s="1272"/>
      <c r="H109" s="1272"/>
      <c r="I109" s="1272"/>
      <c r="J109" s="1272"/>
      <c r="K109" s="425"/>
      <c r="L109" s="418"/>
    </row>
    <row r="110" spans="1:12" ht="12" customHeight="1">
      <c r="A110" s="425" t="s">
        <v>501</v>
      </c>
      <c r="B110" s="425"/>
      <c r="C110" s="419" t="s">
        <v>509</v>
      </c>
      <c r="D110" s="1260">
        <f>'T2 ANSP'!C46</f>
        <v>0</v>
      </c>
      <c r="E110" s="1261"/>
      <c r="F110" s="1304"/>
      <c r="G110" s="1263"/>
      <c r="H110" s="1241">
        <f>D110</f>
        <v>0</v>
      </c>
      <c r="I110" s="1314">
        <f>D110-H110</f>
        <v>0</v>
      </c>
      <c r="J110" s="1265"/>
    </row>
    <row r="111" spans="1:12" ht="12" customHeight="1">
      <c r="A111" s="425">
        <v>2022</v>
      </c>
      <c r="B111" s="425"/>
      <c r="C111" s="419" t="s">
        <v>299</v>
      </c>
      <c r="D111" s="1260">
        <f>'T2 ANSP'!D46</f>
        <v>0</v>
      </c>
      <c r="E111" s="1261"/>
      <c r="F111" s="1304"/>
      <c r="G111" s="1263"/>
      <c r="H111" s="1263"/>
      <c r="I111" s="1305">
        <f>D111</f>
        <v>0</v>
      </c>
      <c r="J111" s="1265"/>
    </row>
    <row r="112" spans="1:12" ht="12" customHeight="1">
      <c r="A112" s="425">
        <v>2023</v>
      </c>
      <c r="B112" s="425"/>
      <c r="C112" s="419" t="s">
        <v>300</v>
      </c>
      <c r="D112" s="1260">
        <f>'T2 ANSP'!E46</f>
        <v>0</v>
      </c>
      <c r="E112" s="1261"/>
      <c r="F112" s="1304"/>
      <c r="G112" s="1263"/>
      <c r="H112" s="1263"/>
      <c r="I112" s="1274"/>
      <c r="J112" s="1260">
        <f>D112</f>
        <v>0</v>
      </c>
    </row>
    <row r="113" spans="1:12" ht="12" customHeight="1">
      <c r="A113" s="425">
        <v>2024</v>
      </c>
      <c r="B113" s="425"/>
      <c r="C113" s="421" t="s">
        <v>301</v>
      </c>
      <c r="D113" s="1322">
        <f>'T2 ANSP'!F46</f>
        <v>0</v>
      </c>
      <c r="E113" s="1307"/>
      <c r="F113" s="1308"/>
      <c r="G113" s="1308"/>
      <c r="H113" s="1308"/>
      <c r="I113" s="1309"/>
      <c r="J113" s="1322">
        <f>D113</f>
        <v>0</v>
      </c>
    </row>
    <row r="114" spans="1:12" ht="12" customHeight="1">
      <c r="A114" s="425" t="s">
        <v>237</v>
      </c>
      <c r="B114" s="425"/>
      <c r="C114" s="559" t="s">
        <v>302</v>
      </c>
      <c r="D114" s="1280">
        <f>D102+SUM(D108:D113)</f>
        <v>68145.972726958949</v>
      </c>
      <c r="E114" s="1281">
        <f>E102+SUM(E108:E113)</f>
        <v>5072.104699629007</v>
      </c>
      <c r="F114" s="1282">
        <f>F102+SUM(F108:F113)</f>
        <v>7854.7130081010137</v>
      </c>
      <c r="G114" s="1282">
        <f t="shared" ref="G114:J114" si="23">G102+SUM(G108:G113)</f>
        <v>24888.143520841521</v>
      </c>
      <c r="H114" s="1282">
        <f t="shared" si="23"/>
        <v>30331.011498387408</v>
      </c>
      <c r="I114" s="1283">
        <f t="shared" si="23"/>
        <v>0</v>
      </c>
      <c r="J114" s="1280">
        <f t="shared" si="23"/>
        <v>0</v>
      </c>
    </row>
    <row r="115" spans="1:12" ht="4.3499999999999996" customHeight="1">
      <c r="A115" s="540"/>
      <c r="B115" s="540"/>
      <c r="C115" s="557"/>
    </row>
    <row r="116" spans="1:12" ht="12" customHeight="1">
      <c r="A116" s="425">
        <v>2017</v>
      </c>
      <c r="B116" s="425"/>
      <c r="C116" s="417" t="s">
        <v>303</v>
      </c>
      <c r="D116" s="1240">
        <v>0</v>
      </c>
      <c r="E116" s="1312">
        <v>0</v>
      </c>
      <c r="F116" s="1303">
        <v>0</v>
      </c>
      <c r="G116" s="1239">
        <v>0</v>
      </c>
      <c r="H116" s="1239">
        <v>0</v>
      </c>
      <c r="I116" s="1240">
        <v>0</v>
      </c>
      <c r="J116" s="1254">
        <f t="shared" ref="J116:J124" si="24">D116-SUM(E116:I116)</f>
        <v>0</v>
      </c>
    </row>
    <row r="117" spans="1:12" ht="12" customHeight="1">
      <c r="A117" s="425">
        <v>2018</v>
      </c>
      <c r="B117" s="425"/>
      <c r="C117" s="419" t="s">
        <v>304</v>
      </c>
      <c r="D117" s="1242">
        <v>0</v>
      </c>
      <c r="E117" s="1313">
        <v>0</v>
      </c>
      <c r="F117" s="1314">
        <v>0</v>
      </c>
      <c r="G117" s="1241">
        <v>0</v>
      </c>
      <c r="H117" s="1241">
        <v>0</v>
      </c>
      <c r="I117" s="1242">
        <v>0</v>
      </c>
      <c r="J117" s="1260">
        <f t="shared" si="24"/>
        <v>0</v>
      </c>
    </row>
    <row r="118" spans="1:12" ht="12" customHeight="1">
      <c r="A118" s="425">
        <v>2019</v>
      </c>
      <c r="B118" s="425"/>
      <c r="C118" s="419" t="s">
        <v>305</v>
      </c>
      <c r="D118" s="1244">
        <v>0</v>
      </c>
      <c r="E118" s="1313">
        <v>0</v>
      </c>
      <c r="F118" s="1362">
        <v>0</v>
      </c>
      <c r="G118" s="1243">
        <v>0</v>
      </c>
      <c r="H118" s="1243">
        <v>0</v>
      </c>
      <c r="I118" s="1244">
        <v>0</v>
      </c>
      <c r="J118" s="1322">
        <f t="shared" si="24"/>
        <v>0</v>
      </c>
    </row>
    <row r="119" spans="1:12" ht="12" customHeight="1">
      <c r="A119" s="425" t="s">
        <v>232</v>
      </c>
      <c r="B119" s="425"/>
      <c r="C119" s="556" t="s">
        <v>306</v>
      </c>
      <c r="D119" s="1266">
        <f>SUM(D116:D118)</f>
        <v>0</v>
      </c>
      <c r="E119" s="1325">
        <f t="shared" ref="E119:I119" si="25">SUM(E116:E118)</f>
        <v>0</v>
      </c>
      <c r="F119" s="1268">
        <f t="shared" si="25"/>
        <v>0</v>
      </c>
      <c r="G119" s="1268">
        <f t="shared" si="25"/>
        <v>0</v>
      </c>
      <c r="H119" s="1268">
        <f t="shared" si="25"/>
        <v>0</v>
      </c>
      <c r="I119" s="1320">
        <f t="shared" si="25"/>
        <v>0</v>
      </c>
      <c r="J119" s="1266">
        <f>SUM(J116:J118)</f>
        <v>0</v>
      </c>
    </row>
    <row r="120" spans="1:12" ht="12" customHeight="1">
      <c r="A120" s="425" t="s">
        <v>500</v>
      </c>
      <c r="B120" s="425"/>
      <c r="C120" s="943"/>
      <c r="D120" s="1272"/>
      <c r="E120" s="1272"/>
      <c r="F120" s="1272"/>
      <c r="G120" s="1272"/>
      <c r="H120" s="1272"/>
      <c r="I120" s="1272"/>
      <c r="J120" s="1272"/>
      <c r="K120" s="425"/>
      <c r="L120" s="418"/>
    </row>
    <row r="121" spans="1:12" ht="12" customHeight="1">
      <c r="A121" s="425" t="s">
        <v>501</v>
      </c>
      <c r="B121" s="425"/>
      <c r="C121" s="419" t="s">
        <v>516</v>
      </c>
      <c r="D121" s="1260">
        <f>'T2 ANSP'!C69</f>
        <v>0</v>
      </c>
      <c r="E121" s="1313">
        <v>0</v>
      </c>
      <c r="F121" s="1314">
        <v>0</v>
      </c>
      <c r="G121" s="1241">
        <v>0</v>
      </c>
      <c r="H121" s="1241">
        <v>0</v>
      </c>
      <c r="I121" s="1242">
        <v>0</v>
      </c>
      <c r="J121" s="1260">
        <f t="shared" si="24"/>
        <v>0</v>
      </c>
    </row>
    <row r="122" spans="1:12" ht="12" customHeight="1">
      <c r="A122" s="425">
        <v>2022</v>
      </c>
      <c r="B122" s="425"/>
      <c r="C122" s="419" t="s">
        <v>307</v>
      </c>
      <c r="D122" s="1260">
        <f>'T2 ANSP'!D69</f>
        <v>0</v>
      </c>
      <c r="E122" s="1273"/>
      <c r="F122" s="1263"/>
      <c r="G122" s="1241">
        <v>0</v>
      </c>
      <c r="H122" s="1241">
        <v>0</v>
      </c>
      <c r="I122" s="1242">
        <v>0</v>
      </c>
      <c r="J122" s="1260">
        <f t="shared" si="24"/>
        <v>0</v>
      </c>
    </row>
    <row r="123" spans="1:12" ht="12" customHeight="1">
      <c r="A123" s="425">
        <v>2023</v>
      </c>
      <c r="B123" s="425"/>
      <c r="C123" s="419" t="s">
        <v>308</v>
      </c>
      <c r="D123" s="1260">
        <f>'T2 ANSP'!E69</f>
        <v>0</v>
      </c>
      <c r="E123" s="1273"/>
      <c r="F123" s="1263"/>
      <c r="G123" s="1299"/>
      <c r="H123" s="1241">
        <v>0</v>
      </c>
      <c r="I123" s="1242">
        <v>0</v>
      </c>
      <c r="J123" s="1260">
        <f t="shared" si="24"/>
        <v>0</v>
      </c>
    </row>
    <row r="124" spans="1:12" ht="12" customHeight="1">
      <c r="A124" s="425">
        <v>2024</v>
      </c>
      <c r="B124" s="425"/>
      <c r="C124" s="421" t="s">
        <v>309</v>
      </c>
      <c r="D124" s="1322">
        <f>'T2 ANSP'!F69</f>
        <v>0</v>
      </c>
      <c r="E124" s="1276"/>
      <c r="F124" s="1277"/>
      <c r="G124" s="1324"/>
      <c r="H124" s="1324"/>
      <c r="I124" s="1242">
        <v>0</v>
      </c>
      <c r="J124" s="1260">
        <f t="shared" si="24"/>
        <v>0</v>
      </c>
    </row>
    <row r="125" spans="1:12" ht="12" customHeight="1">
      <c r="A125" s="425" t="s">
        <v>237</v>
      </c>
      <c r="B125" s="425"/>
      <c r="C125" s="559" t="s">
        <v>310</v>
      </c>
      <c r="D125" s="1280">
        <f>SUM(D119:D124)</f>
        <v>0</v>
      </c>
      <c r="E125" s="1281">
        <f>SUM(E119:E124)</f>
        <v>0</v>
      </c>
      <c r="F125" s="1282">
        <f t="shared" ref="F125:J125" si="26">SUM(F119:F124)</f>
        <v>0</v>
      </c>
      <c r="G125" s="1282">
        <f t="shared" si="26"/>
        <v>0</v>
      </c>
      <c r="H125" s="1282">
        <f t="shared" si="26"/>
        <v>0</v>
      </c>
      <c r="I125" s="1283">
        <f t="shared" si="26"/>
        <v>0</v>
      </c>
      <c r="J125" s="1280">
        <f t="shared" si="26"/>
        <v>0</v>
      </c>
    </row>
    <row r="126" spans="1:12" ht="4.3499999999999996" customHeight="1">
      <c r="A126" s="540"/>
      <c r="B126" s="540"/>
      <c r="C126" s="557"/>
    </row>
    <row r="127" spans="1:12" ht="12" customHeight="1">
      <c r="A127" s="425">
        <v>2017</v>
      </c>
      <c r="B127" s="425"/>
      <c r="C127" s="417" t="s">
        <v>311</v>
      </c>
      <c r="D127" s="1240">
        <v>0</v>
      </c>
      <c r="E127" s="1312">
        <v>0</v>
      </c>
      <c r="F127" s="1303">
        <v>0</v>
      </c>
      <c r="G127" s="1239">
        <v>0</v>
      </c>
      <c r="H127" s="1239">
        <v>0</v>
      </c>
      <c r="I127" s="1240">
        <v>0</v>
      </c>
      <c r="J127" s="1254">
        <f t="shared" ref="J127:J129" si="27">D127-SUM(E127:I127)</f>
        <v>0</v>
      </c>
    </row>
    <row r="128" spans="1:12" ht="12" customHeight="1">
      <c r="A128" s="425">
        <v>2018</v>
      </c>
      <c r="B128" s="425"/>
      <c r="C128" s="419" t="s">
        <v>312</v>
      </c>
      <c r="D128" s="1242">
        <v>0</v>
      </c>
      <c r="E128" s="1313">
        <v>0</v>
      </c>
      <c r="F128" s="1314">
        <v>0</v>
      </c>
      <c r="G128" s="1241">
        <v>0</v>
      </c>
      <c r="H128" s="1241">
        <v>0</v>
      </c>
      <c r="I128" s="1242">
        <v>0</v>
      </c>
      <c r="J128" s="1260">
        <f t="shared" si="27"/>
        <v>0</v>
      </c>
    </row>
    <row r="129" spans="1:12" ht="12" customHeight="1">
      <c r="A129" s="425">
        <v>2019</v>
      </c>
      <c r="B129" s="425"/>
      <c r="C129" s="419" t="s">
        <v>313</v>
      </c>
      <c r="D129" s="1244">
        <v>0</v>
      </c>
      <c r="E129" s="1313">
        <v>0</v>
      </c>
      <c r="F129" s="1362">
        <v>0</v>
      </c>
      <c r="G129" s="1243">
        <v>0</v>
      </c>
      <c r="H129" s="1243">
        <v>0</v>
      </c>
      <c r="I129" s="1244">
        <v>0</v>
      </c>
      <c r="J129" s="1322">
        <f t="shared" si="27"/>
        <v>0</v>
      </c>
    </row>
    <row r="130" spans="1:12" ht="12" customHeight="1">
      <c r="A130" s="425" t="s">
        <v>232</v>
      </c>
      <c r="B130" s="425"/>
      <c r="C130" s="556" t="s">
        <v>314</v>
      </c>
      <c r="D130" s="1266">
        <f>SUM(D127:D129)</f>
        <v>0</v>
      </c>
      <c r="E130" s="1325">
        <f t="shared" ref="E130:J130" si="28">SUM(E127:E129)</f>
        <v>0</v>
      </c>
      <c r="F130" s="1268">
        <f t="shared" si="28"/>
        <v>0</v>
      </c>
      <c r="G130" s="1268">
        <f t="shared" si="28"/>
        <v>0</v>
      </c>
      <c r="H130" s="1268">
        <f t="shared" si="28"/>
        <v>0</v>
      </c>
      <c r="I130" s="1320">
        <f t="shared" si="28"/>
        <v>0</v>
      </c>
      <c r="J130" s="1266">
        <f t="shared" si="28"/>
        <v>0</v>
      </c>
    </row>
    <row r="131" spans="1:12" ht="12" customHeight="1">
      <c r="A131" s="425" t="s">
        <v>500</v>
      </c>
      <c r="B131" s="425"/>
      <c r="C131" s="943"/>
      <c r="D131" s="1272"/>
      <c r="E131" s="1272"/>
      <c r="F131" s="1272"/>
      <c r="G131" s="1272"/>
      <c r="H131" s="1272"/>
      <c r="I131" s="1272"/>
      <c r="J131" s="1272"/>
      <c r="K131" s="425"/>
      <c r="L131" s="418"/>
    </row>
    <row r="132" spans="1:12" ht="12" customHeight="1">
      <c r="A132" s="425" t="s">
        <v>501</v>
      </c>
      <c r="B132" s="425"/>
      <c r="C132" s="419" t="s">
        <v>515</v>
      </c>
      <c r="D132" s="1260">
        <f>'T2 ANSP'!C70</f>
        <v>0</v>
      </c>
      <c r="E132" s="1313">
        <v>0</v>
      </c>
      <c r="F132" s="1314">
        <v>0</v>
      </c>
      <c r="G132" s="1241">
        <v>0</v>
      </c>
      <c r="H132" s="1241">
        <v>0</v>
      </c>
      <c r="I132" s="1242">
        <v>0</v>
      </c>
      <c r="J132" s="1260">
        <f t="shared" ref="J132:J135" si="29">D132-SUM(E132:I132)</f>
        <v>0</v>
      </c>
    </row>
    <row r="133" spans="1:12" ht="12" customHeight="1">
      <c r="A133" s="425">
        <v>2022</v>
      </c>
      <c r="B133" s="425"/>
      <c r="C133" s="419" t="s">
        <v>315</v>
      </c>
      <c r="D133" s="1260">
        <f>'T2 ANSP'!E69</f>
        <v>0</v>
      </c>
      <c r="E133" s="1273"/>
      <c r="F133" s="1263"/>
      <c r="G133" s="1241">
        <f>D133</f>
        <v>0</v>
      </c>
      <c r="H133" s="1241">
        <v>0</v>
      </c>
      <c r="I133" s="1242">
        <v>0</v>
      </c>
      <c r="J133" s="1260">
        <f t="shared" si="29"/>
        <v>0</v>
      </c>
    </row>
    <row r="134" spans="1:12" ht="12" customHeight="1">
      <c r="A134" s="425">
        <v>2023</v>
      </c>
      <c r="B134" s="425"/>
      <c r="C134" s="419" t="s">
        <v>316</v>
      </c>
      <c r="D134" s="1260">
        <f>'T2 ANSP'!E70</f>
        <v>0</v>
      </c>
      <c r="E134" s="1273"/>
      <c r="F134" s="1263"/>
      <c r="G134" s="1299"/>
      <c r="H134" s="1241">
        <v>0</v>
      </c>
      <c r="I134" s="1242">
        <v>0</v>
      </c>
      <c r="J134" s="1260">
        <f t="shared" si="29"/>
        <v>0</v>
      </c>
    </row>
    <row r="135" spans="1:12" ht="12" customHeight="1">
      <c r="A135" s="425">
        <v>2024</v>
      </c>
      <c r="B135" s="425"/>
      <c r="C135" s="421" t="s">
        <v>317</v>
      </c>
      <c r="D135" s="1322">
        <f>'T2 ANSP'!F70</f>
        <v>0</v>
      </c>
      <c r="E135" s="1276"/>
      <c r="F135" s="1277"/>
      <c r="G135" s="1324"/>
      <c r="H135" s="1324"/>
      <c r="I135" s="1242">
        <v>0</v>
      </c>
      <c r="J135" s="1260">
        <f t="shared" si="29"/>
        <v>0</v>
      </c>
    </row>
    <row r="136" spans="1:12" ht="12" customHeight="1">
      <c r="A136" s="425" t="s">
        <v>237</v>
      </c>
      <c r="B136" s="425"/>
      <c r="C136" s="559" t="s">
        <v>318</v>
      </c>
      <c r="D136" s="1280">
        <f>SUM(D130:D135)</f>
        <v>0</v>
      </c>
      <c r="E136" s="1281">
        <f t="shared" ref="E136:J136" si="30">SUM(E130:E135)</f>
        <v>0</v>
      </c>
      <c r="F136" s="1282">
        <f t="shared" si="30"/>
        <v>0</v>
      </c>
      <c r="G136" s="1282">
        <f t="shared" si="30"/>
        <v>0</v>
      </c>
      <c r="H136" s="1282">
        <f t="shared" si="30"/>
        <v>0</v>
      </c>
      <c r="I136" s="1283">
        <f t="shared" si="30"/>
        <v>0</v>
      </c>
      <c r="J136" s="1280">
        <f t="shared" si="30"/>
        <v>0</v>
      </c>
    </row>
    <row r="137" spans="1:12" ht="4.3499999999999996" customHeight="1">
      <c r="A137" s="540"/>
      <c r="B137" s="540"/>
      <c r="C137" s="557"/>
    </row>
    <row r="138" spans="1:12" ht="12" customHeight="1">
      <c r="A138" s="425">
        <v>2017</v>
      </c>
      <c r="B138" s="425"/>
      <c r="C138" s="417" t="s">
        <v>319</v>
      </c>
      <c r="D138" s="1240">
        <v>0</v>
      </c>
      <c r="E138" s="1312">
        <v>0</v>
      </c>
      <c r="F138" s="1303">
        <v>0</v>
      </c>
      <c r="G138" s="1239">
        <v>0</v>
      </c>
      <c r="H138" s="1239">
        <v>0</v>
      </c>
      <c r="I138" s="1240">
        <v>0</v>
      </c>
      <c r="J138" s="1254">
        <f>D138-SUM(E138:I138)</f>
        <v>0</v>
      </c>
    </row>
    <row r="139" spans="1:12" ht="12" customHeight="1">
      <c r="A139" s="425">
        <v>2018</v>
      </c>
      <c r="B139" s="425"/>
      <c r="C139" s="419" t="s">
        <v>320</v>
      </c>
      <c r="D139" s="1242">
        <v>0</v>
      </c>
      <c r="E139" s="1313">
        <v>0</v>
      </c>
      <c r="F139" s="1314">
        <v>0</v>
      </c>
      <c r="G139" s="1241">
        <v>0</v>
      </c>
      <c r="H139" s="1241">
        <v>0</v>
      </c>
      <c r="I139" s="1242">
        <v>0</v>
      </c>
      <c r="J139" s="1260">
        <f>D139-SUM(E139:I139)</f>
        <v>0</v>
      </c>
    </row>
    <row r="140" spans="1:12" ht="12" customHeight="1">
      <c r="A140" s="425">
        <v>2019</v>
      </c>
      <c r="B140" s="425"/>
      <c r="C140" s="419" t="s">
        <v>321</v>
      </c>
      <c r="D140" s="1244">
        <v>0</v>
      </c>
      <c r="E140" s="1313">
        <v>0</v>
      </c>
      <c r="F140" s="1362">
        <v>0</v>
      </c>
      <c r="G140" s="1243">
        <v>0</v>
      </c>
      <c r="H140" s="1243">
        <v>0</v>
      </c>
      <c r="I140" s="1244">
        <v>0</v>
      </c>
      <c r="J140" s="1322">
        <f>D140-SUM(E140:I140)</f>
        <v>0</v>
      </c>
    </row>
    <row r="141" spans="1:12" ht="12" customHeight="1">
      <c r="A141" s="425" t="s">
        <v>232</v>
      </c>
      <c r="B141" s="425"/>
      <c r="C141" s="556" t="s">
        <v>322</v>
      </c>
      <c r="D141" s="1266">
        <f>SUM(D138:D140)</f>
        <v>0</v>
      </c>
      <c r="E141" s="1325">
        <f>SUM(E138:E140)</f>
        <v>0</v>
      </c>
      <c r="F141" s="1268">
        <f>SUM(F138:F140)</f>
        <v>0</v>
      </c>
      <c r="G141" s="1268">
        <f t="shared" ref="G141:I141" si="31">SUM(G138:G140)</f>
        <v>0</v>
      </c>
      <c r="H141" s="1268">
        <f t="shared" si="31"/>
        <v>0</v>
      </c>
      <c r="I141" s="1320">
        <f t="shared" si="31"/>
        <v>0</v>
      </c>
      <c r="J141" s="1266">
        <f>SUM(J138:J140)</f>
        <v>0</v>
      </c>
    </row>
    <row r="142" spans="1:12" ht="12" customHeight="1">
      <c r="A142" s="425" t="s">
        <v>500</v>
      </c>
      <c r="B142" s="425"/>
      <c r="C142" s="943"/>
      <c r="D142" s="1272"/>
      <c r="E142" s="1272"/>
      <c r="F142" s="1272"/>
      <c r="G142" s="1272"/>
      <c r="H142" s="1272"/>
      <c r="I142" s="1272"/>
      <c r="J142" s="1272"/>
      <c r="K142" s="425"/>
      <c r="L142" s="418"/>
    </row>
    <row r="143" spans="1:12" ht="12" customHeight="1">
      <c r="A143" s="425" t="s">
        <v>501</v>
      </c>
      <c r="B143" s="425"/>
      <c r="C143" s="419" t="s">
        <v>514</v>
      </c>
      <c r="D143" s="1260">
        <v>0</v>
      </c>
      <c r="E143" s="1313">
        <v>0</v>
      </c>
      <c r="F143" s="1314">
        <v>0</v>
      </c>
      <c r="G143" s="1241">
        <f>D143</f>
        <v>0</v>
      </c>
      <c r="H143" s="1241">
        <v>0</v>
      </c>
      <c r="I143" s="1331"/>
      <c r="J143" s="1265"/>
    </row>
    <row r="144" spans="1:12" ht="12" customHeight="1">
      <c r="A144" s="425">
        <v>2022</v>
      </c>
      <c r="B144" s="425"/>
      <c r="C144" s="419" t="s">
        <v>323</v>
      </c>
      <c r="D144" s="1260">
        <f>'T2 ANSP'!D71</f>
        <v>0</v>
      </c>
      <c r="E144" s="1273"/>
      <c r="F144" s="1263"/>
      <c r="G144" s="1241">
        <v>0</v>
      </c>
      <c r="H144" s="1241">
        <v>0</v>
      </c>
      <c r="I144" s="1242">
        <v>0</v>
      </c>
      <c r="J144" s="1265"/>
    </row>
    <row r="145" spans="1:12" ht="12" customHeight="1">
      <c r="A145" s="425">
        <v>2023</v>
      </c>
      <c r="B145" s="425"/>
      <c r="C145" s="419" t="s">
        <v>324</v>
      </c>
      <c r="D145" s="1260">
        <f>'T2 ANSP'!E71</f>
        <v>0</v>
      </c>
      <c r="E145" s="1273"/>
      <c r="F145" s="1263"/>
      <c r="G145" s="1299"/>
      <c r="H145" s="1241">
        <v>0</v>
      </c>
      <c r="I145" s="1242">
        <v>0</v>
      </c>
      <c r="J145" s="1260">
        <f>D145-SUM(E145:I145)</f>
        <v>0</v>
      </c>
    </row>
    <row r="146" spans="1:12" ht="12" customHeight="1">
      <c r="A146" s="425">
        <v>2024</v>
      </c>
      <c r="B146" s="425"/>
      <c r="C146" s="421" t="s">
        <v>325</v>
      </c>
      <c r="D146" s="1322">
        <f>'T2 ANSP'!F71</f>
        <v>0</v>
      </c>
      <c r="E146" s="1276"/>
      <c r="F146" s="1277"/>
      <c r="G146" s="1324"/>
      <c r="H146" s="1324"/>
      <c r="I146" s="1242">
        <v>0</v>
      </c>
      <c r="J146" s="1260">
        <f t="shared" ref="J146" si="32">D146-SUM(E146:I146)</f>
        <v>0</v>
      </c>
    </row>
    <row r="147" spans="1:12" ht="12" customHeight="1">
      <c r="A147" s="425" t="s">
        <v>237</v>
      </c>
      <c r="B147" s="425"/>
      <c r="C147" s="559" t="s">
        <v>326</v>
      </c>
      <c r="D147" s="1280">
        <f>SUM(D141:D146)</f>
        <v>0</v>
      </c>
      <c r="E147" s="1281">
        <f>SUM(E141:E146)</f>
        <v>0</v>
      </c>
      <c r="F147" s="1282">
        <f t="shared" ref="F147:I147" si="33">SUM(F141:F146)</f>
        <v>0</v>
      </c>
      <c r="G147" s="1282">
        <f t="shared" si="33"/>
        <v>0</v>
      </c>
      <c r="H147" s="1282">
        <f t="shared" si="33"/>
        <v>0</v>
      </c>
      <c r="I147" s="1283">
        <f t="shared" si="33"/>
        <v>0</v>
      </c>
      <c r="J147" s="1280">
        <f>SUM(J141:J146)</f>
        <v>0</v>
      </c>
    </row>
    <row r="148" spans="1:12" ht="4.3499999999999996" customHeight="1">
      <c r="A148" s="540"/>
      <c r="B148" s="540"/>
      <c r="C148" s="557"/>
    </row>
    <row r="149" spans="1:12" ht="12" customHeight="1">
      <c r="A149" s="425">
        <v>2017</v>
      </c>
      <c r="B149" s="425"/>
      <c r="C149" s="417" t="s">
        <v>327</v>
      </c>
      <c r="D149" s="1240">
        <v>0</v>
      </c>
      <c r="E149" s="1255">
        <v>0</v>
      </c>
      <c r="F149" s="1332">
        <v>0</v>
      </c>
      <c r="G149" s="1239">
        <v>0</v>
      </c>
      <c r="H149" s="1239">
        <v>0</v>
      </c>
      <c r="I149" s="1240">
        <v>0</v>
      </c>
      <c r="J149" s="1333">
        <f>D149-SUM(E149:I149)</f>
        <v>0</v>
      </c>
    </row>
    <row r="150" spans="1:12" ht="12" customHeight="1">
      <c r="A150" s="425">
        <v>2018</v>
      </c>
      <c r="B150" s="425"/>
      <c r="C150" s="419" t="s">
        <v>328</v>
      </c>
      <c r="D150" s="1242">
        <v>0</v>
      </c>
      <c r="E150" s="1334">
        <v>0</v>
      </c>
      <c r="F150" s="1262">
        <v>0</v>
      </c>
      <c r="G150" s="1241">
        <v>0</v>
      </c>
      <c r="H150" s="1241">
        <v>0</v>
      </c>
      <c r="I150" s="1242">
        <v>0</v>
      </c>
      <c r="J150" s="1335">
        <f>D150-SUM(E150:I150)</f>
        <v>0</v>
      </c>
    </row>
    <row r="151" spans="1:12" ht="12" customHeight="1">
      <c r="A151" s="425">
        <v>2019</v>
      </c>
      <c r="B151" s="425"/>
      <c r="C151" s="419" t="s">
        <v>329</v>
      </c>
      <c r="D151" s="1244">
        <v>0</v>
      </c>
      <c r="E151" s="1334">
        <v>0</v>
      </c>
      <c r="F151" s="1262">
        <v>0</v>
      </c>
      <c r="G151" s="1243">
        <v>0</v>
      </c>
      <c r="H151" s="1243">
        <v>0</v>
      </c>
      <c r="I151" s="1244">
        <v>0</v>
      </c>
      <c r="J151" s="1335">
        <f>D151-SUM(E151:I151)</f>
        <v>0</v>
      </c>
    </row>
    <row r="152" spans="1:12" ht="12" customHeight="1">
      <c r="A152" s="425" t="s">
        <v>232</v>
      </c>
      <c r="B152" s="425"/>
      <c r="C152" s="556" t="s">
        <v>330</v>
      </c>
      <c r="D152" s="1336">
        <f t="shared" ref="D152:J152" si="34">SUM(D149:D151)</f>
        <v>0</v>
      </c>
      <c r="E152" s="1337">
        <f t="shared" si="34"/>
        <v>0</v>
      </c>
      <c r="F152" s="1338">
        <f t="shared" si="34"/>
        <v>0</v>
      </c>
      <c r="G152" s="1338">
        <f t="shared" si="34"/>
        <v>0</v>
      </c>
      <c r="H152" s="1338">
        <f t="shared" si="34"/>
        <v>0</v>
      </c>
      <c r="I152" s="1339">
        <f t="shared" si="34"/>
        <v>0</v>
      </c>
      <c r="J152" s="1336">
        <f t="shared" si="34"/>
        <v>0</v>
      </c>
    </row>
    <row r="153" spans="1:12" ht="12" customHeight="1">
      <c r="A153" s="425" t="s">
        <v>500</v>
      </c>
      <c r="B153" s="425"/>
      <c r="C153" s="943"/>
      <c r="D153" s="1272"/>
      <c r="E153" s="1272"/>
      <c r="F153" s="1272"/>
      <c r="G153" s="1272"/>
      <c r="H153" s="1272"/>
      <c r="I153" s="1272"/>
      <c r="J153" s="1272"/>
      <c r="K153" s="425"/>
      <c r="L153" s="418"/>
    </row>
    <row r="154" spans="1:12" ht="12" customHeight="1">
      <c r="A154" s="425" t="s">
        <v>501</v>
      </c>
      <c r="B154" s="425"/>
      <c r="C154" s="419" t="s">
        <v>513</v>
      </c>
      <c r="D154" s="1335">
        <f>'T2 ANSP'!C72</f>
        <v>0</v>
      </c>
      <c r="E154" s="1334">
        <v>0</v>
      </c>
      <c r="F154" s="1262">
        <v>0</v>
      </c>
      <c r="G154" s="1341">
        <v>0</v>
      </c>
      <c r="H154" s="1341">
        <v>0</v>
      </c>
      <c r="I154" s="1274"/>
      <c r="J154" s="1265"/>
    </row>
    <row r="155" spans="1:12" ht="12" customHeight="1">
      <c r="A155" s="425">
        <v>2022</v>
      </c>
      <c r="B155" s="425"/>
      <c r="C155" s="419" t="s">
        <v>331</v>
      </c>
      <c r="D155" s="1340">
        <f>'T2 ANSP'!D72</f>
        <v>0</v>
      </c>
      <c r="E155" s="1273"/>
      <c r="F155" s="1263"/>
      <c r="G155" s="1341">
        <v>0</v>
      </c>
      <c r="H155" s="1341">
        <v>0</v>
      </c>
      <c r="I155" s="1341">
        <v>0</v>
      </c>
      <c r="J155" s="1265"/>
    </row>
    <row r="156" spans="1:12" ht="12" customHeight="1">
      <c r="A156" s="425">
        <v>2023</v>
      </c>
      <c r="B156" s="425"/>
      <c r="C156" s="419" t="s">
        <v>332</v>
      </c>
      <c r="D156" s="1340">
        <f>'T2 ANSP'!E72</f>
        <v>0</v>
      </c>
      <c r="E156" s="1273"/>
      <c r="F156" s="1263"/>
      <c r="G156" s="1263"/>
      <c r="H156" s="1341">
        <v>0</v>
      </c>
      <c r="I156" s="1341">
        <v>0</v>
      </c>
      <c r="J156" s="1335">
        <f>D156-SUM(E156:I156)</f>
        <v>0</v>
      </c>
    </row>
    <row r="157" spans="1:12" ht="12" customHeight="1">
      <c r="A157" s="425">
        <v>2024</v>
      </c>
      <c r="B157" s="425"/>
      <c r="C157" s="421" t="s">
        <v>333</v>
      </c>
      <c r="D157" s="1342">
        <f>'T2 ANSP'!F72</f>
        <v>0</v>
      </c>
      <c r="E157" s="1276"/>
      <c r="F157" s="1277"/>
      <c r="G157" s="1277"/>
      <c r="H157" s="1277"/>
      <c r="I157" s="1343">
        <v>0</v>
      </c>
      <c r="J157" s="1344">
        <f>D157-SUM(E157:I157)</f>
        <v>0</v>
      </c>
    </row>
    <row r="158" spans="1:12" ht="12" customHeight="1">
      <c r="A158" s="425" t="s">
        <v>237</v>
      </c>
      <c r="B158" s="425"/>
      <c r="C158" s="559" t="s">
        <v>334</v>
      </c>
      <c r="D158" s="1345">
        <f>SUM(D152:D157)</f>
        <v>0</v>
      </c>
      <c r="E158" s="1346">
        <f>SUM(E152:E157)</f>
        <v>0</v>
      </c>
      <c r="F158" s="1347">
        <f t="shared" ref="F158:H158" si="35">SUM(F152:F157)</f>
        <v>0</v>
      </c>
      <c r="G158" s="1347">
        <f t="shared" si="35"/>
        <v>0</v>
      </c>
      <c r="H158" s="1347">
        <f t="shared" si="35"/>
        <v>0</v>
      </c>
      <c r="I158" s="1348">
        <f>SUM(I152:I157)</f>
        <v>0</v>
      </c>
      <c r="J158" s="1345">
        <f>SUM(J152:J157)</f>
        <v>0</v>
      </c>
    </row>
    <row r="159" spans="1:12" ht="4.3499999999999996" customHeight="1">
      <c r="A159" s="540"/>
      <c r="B159" s="540"/>
      <c r="C159" s="557"/>
    </row>
    <row r="160" spans="1:12" ht="12" customHeight="1">
      <c r="A160" s="425" t="s">
        <v>500</v>
      </c>
      <c r="B160" s="425"/>
      <c r="C160" s="944"/>
      <c r="D160" s="1297"/>
      <c r="E160" s="1297"/>
      <c r="F160" s="1297"/>
      <c r="G160" s="1297"/>
      <c r="H160" s="1297"/>
      <c r="I160" s="1297"/>
      <c r="J160" s="1297"/>
      <c r="K160" s="425"/>
      <c r="L160" s="418"/>
    </row>
    <row r="161" spans="1:12" ht="12" customHeight="1">
      <c r="A161" s="425" t="s">
        <v>501</v>
      </c>
      <c r="B161" s="425"/>
      <c r="C161" s="419" t="s">
        <v>512</v>
      </c>
      <c r="D161" s="1436">
        <f>'T2 ANSP'!C63</f>
        <v>362681.9959186879</v>
      </c>
      <c r="E161" s="1273"/>
      <c r="F161" s="1263"/>
      <c r="G161" s="1299"/>
      <c r="H161" s="1439">
        <v>0</v>
      </c>
      <c r="I161" s="1440">
        <v>0</v>
      </c>
      <c r="J161" s="1436">
        <v>0</v>
      </c>
    </row>
    <row r="162" spans="1:12" ht="12" customHeight="1">
      <c r="A162" s="425">
        <v>2022</v>
      </c>
      <c r="B162" s="425"/>
      <c r="C162" s="419" t="s">
        <v>335</v>
      </c>
      <c r="D162" s="1260">
        <f>'T2 ANSP'!D63</f>
        <v>0</v>
      </c>
      <c r="E162" s="1261"/>
      <c r="F162" s="1304"/>
      <c r="G162" s="1349"/>
      <c r="H162" s="1241">
        <v>0</v>
      </c>
      <c r="I162" s="1242">
        <v>0</v>
      </c>
      <c r="J162" s="1260">
        <f t="shared" ref="J162:J164" si="36">D162-SUM(E162:I162)</f>
        <v>0</v>
      </c>
    </row>
    <row r="163" spans="1:12" ht="12" customHeight="1">
      <c r="A163" s="425">
        <v>2023</v>
      </c>
      <c r="B163" s="425"/>
      <c r="C163" s="419" t="s">
        <v>336</v>
      </c>
      <c r="D163" s="1260">
        <f>'T2 ANSP'!E63</f>
        <v>0</v>
      </c>
      <c r="E163" s="1261"/>
      <c r="F163" s="1304"/>
      <c r="G163" s="1349"/>
      <c r="H163" s="1349"/>
      <c r="I163" s="1242">
        <v>0</v>
      </c>
      <c r="J163" s="1260">
        <f t="shared" si="36"/>
        <v>0</v>
      </c>
    </row>
    <row r="164" spans="1:12" ht="12" customHeight="1">
      <c r="A164" s="425">
        <v>2024</v>
      </c>
      <c r="B164" s="425"/>
      <c r="C164" s="421" t="s">
        <v>337</v>
      </c>
      <c r="D164" s="1322">
        <f>'T2 ANSP'!F63</f>
        <v>0</v>
      </c>
      <c r="E164" s="1307"/>
      <c r="F164" s="1308"/>
      <c r="G164" s="1350"/>
      <c r="H164" s="1350"/>
      <c r="I164" s="1350"/>
      <c r="J164" s="1260">
        <f t="shared" si="36"/>
        <v>0</v>
      </c>
    </row>
    <row r="165" spans="1:12" ht="12" customHeight="1">
      <c r="A165" s="425" t="s">
        <v>237</v>
      </c>
      <c r="B165" s="425"/>
      <c r="C165" s="559" t="s">
        <v>338</v>
      </c>
      <c r="D165" s="1280">
        <f>SUM(D160:D164)</f>
        <v>362681.9959186879</v>
      </c>
      <c r="E165" s="1281">
        <f>SUM(E160:E164)</f>
        <v>0</v>
      </c>
      <c r="F165" s="1282">
        <f t="shared" ref="F165:J165" si="37">SUM(F160:F164)</f>
        <v>0</v>
      </c>
      <c r="G165" s="1282">
        <f t="shared" si="37"/>
        <v>0</v>
      </c>
      <c r="H165" s="1282">
        <f t="shared" si="37"/>
        <v>0</v>
      </c>
      <c r="I165" s="1283">
        <f t="shared" si="37"/>
        <v>0</v>
      </c>
      <c r="J165" s="1280">
        <f t="shared" si="37"/>
        <v>0</v>
      </c>
    </row>
    <row r="166" spans="1:12" ht="4.3499999999999996" customHeight="1">
      <c r="B166" s="425"/>
      <c r="C166" s="557"/>
    </row>
    <row r="167" spans="1:12" ht="12" customHeight="1">
      <c r="A167" s="425" t="s">
        <v>500</v>
      </c>
      <c r="B167" s="425"/>
      <c r="C167" s="944"/>
      <c r="D167" s="1297"/>
      <c r="E167" s="1297"/>
      <c r="F167" s="1297"/>
      <c r="G167" s="1297"/>
      <c r="H167" s="1297"/>
      <c r="I167" s="1297"/>
      <c r="J167" s="1297"/>
      <c r="K167" s="425"/>
      <c r="L167" s="418"/>
    </row>
    <row r="168" spans="1:12" s="557" customFormat="1" ht="12" customHeight="1">
      <c r="A168" s="425" t="s">
        <v>501</v>
      </c>
      <c r="B168" s="425"/>
      <c r="C168" s="419" t="s">
        <v>511</v>
      </c>
      <c r="D168" s="1265"/>
      <c r="E168" s="1273"/>
      <c r="F168" s="1263"/>
      <c r="G168" s="1263"/>
      <c r="H168" s="1263"/>
      <c r="I168" s="1274"/>
      <c r="J168" s="1265"/>
      <c r="L168" s="558"/>
    </row>
    <row r="169" spans="1:12" s="557" customFormat="1" ht="12" customHeight="1">
      <c r="A169" s="425">
        <v>2022</v>
      </c>
      <c r="B169" s="425"/>
      <c r="C169" s="419" t="s">
        <v>347</v>
      </c>
      <c r="D169" s="1374"/>
      <c r="E169" s="1273"/>
      <c r="F169" s="1263"/>
      <c r="G169" s="1263"/>
      <c r="H169" s="1263"/>
      <c r="I169" s="1263"/>
      <c r="J169" s="1265"/>
      <c r="L169" s="558"/>
    </row>
    <row r="170" spans="1:12" s="557" customFormat="1" ht="12" customHeight="1">
      <c r="A170" s="425">
        <v>2023</v>
      </c>
      <c r="B170" s="425"/>
      <c r="C170" s="419" t="s">
        <v>348</v>
      </c>
      <c r="D170" s="1374"/>
      <c r="E170" s="1273"/>
      <c r="F170" s="1263"/>
      <c r="G170" s="1263"/>
      <c r="H170" s="1263"/>
      <c r="I170" s="1263"/>
      <c r="J170" s="1265"/>
      <c r="L170" s="558"/>
    </row>
    <row r="171" spans="1:12" s="557" customFormat="1" ht="12" customHeight="1">
      <c r="A171" s="425">
        <v>2024</v>
      </c>
      <c r="B171" s="425"/>
      <c r="C171" s="421" t="s">
        <v>349</v>
      </c>
      <c r="D171" s="1375"/>
      <c r="E171" s="1276"/>
      <c r="F171" s="1277"/>
      <c r="G171" s="1277"/>
      <c r="H171" s="1277"/>
      <c r="I171" s="1277"/>
      <c r="J171" s="1279"/>
      <c r="L171" s="558"/>
    </row>
    <row r="172" spans="1:12" s="557" customFormat="1" ht="12" customHeight="1">
      <c r="A172" s="425" t="s">
        <v>237</v>
      </c>
      <c r="B172" s="425"/>
      <c r="C172" s="559" t="s">
        <v>350</v>
      </c>
      <c r="D172" s="1294"/>
      <c r="E172" s="1291"/>
      <c r="F172" s="1292"/>
      <c r="G172" s="1292"/>
      <c r="H172" s="1292"/>
      <c r="I172" s="1293"/>
      <c r="J172" s="1294"/>
      <c r="L172" s="558"/>
    </row>
    <row r="173" spans="1:12" ht="4.3499999999999996" customHeight="1">
      <c r="B173" s="425"/>
      <c r="C173" s="426"/>
      <c r="D173" s="1354"/>
      <c r="E173" s="1354"/>
      <c r="F173" s="1355"/>
      <c r="G173" s="1354"/>
      <c r="H173" s="1354"/>
      <c r="I173" s="1354"/>
      <c r="J173" s="1354"/>
    </row>
    <row r="174" spans="1:12" ht="4.3499999999999996" customHeight="1">
      <c r="B174" s="425"/>
    </row>
    <row r="175" spans="1:12" ht="12" customHeight="1">
      <c r="B175" s="425"/>
      <c r="C175" s="422" t="s">
        <v>339</v>
      </c>
      <c r="D175" s="1280">
        <f>D17+D28+D35+D42+D49+D56+D63+D70+D75+D86+D97+D114+D125+D136+D147+D158+D165+D172</f>
        <v>530752.11805850873</v>
      </c>
      <c r="E175" s="1281">
        <f t="shared" ref="E175:J175" si="38">E17+E28+E35+E42+E49+E56+E63+E70+E75+E86+E97+E114+E125+E136+E147+E158+E165+E172</f>
        <v>50073.747911098959</v>
      </c>
      <c r="F175" s="1282">
        <f t="shared" si="38"/>
        <v>62777.219209492876</v>
      </c>
      <c r="G175" s="1282">
        <f t="shared" si="38"/>
        <v>24888.143520841521</v>
      </c>
      <c r="H175" s="1282">
        <f t="shared" si="38"/>
        <v>30331.011498387408</v>
      </c>
      <c r="I175" s="1283">
        <f>I17+I28+I35+I42+I49+I56+I63+I70+I75+I86+I97+I114+I125+I136+I147+I158+I165+I172</f>
        <v>0</v>
      </c>
      <c r="J175" s="1280">
        <f t="shared" si="38"/>
        <v>0</v>
      </c>
      <c r="L175" s="418"/>
    </row>
    <row r="176" spans="1:12" ht="12" customHeight="1">
      <c r="B176" s="425"/>
    </row>
    <row r="177" spans="2:10" ht="12" customHeight="1">
      <c r="B177" s="425"/>
      <c r="C177" s="74" t="s">
        <v>340</v>
      </c>
      <c r="D177" s="1378"/>
      <c r="E177" s="1378"/>
      <c r="F177" s="1449" t="s">
        <v>726</v>
      </c>
      <c r="G177" s="1450"/>
      <c r="H177" s="1450"/>
      <c r="I177" s="1450"/>
      <c r="J177" s="1451"/>
    </row>
    <row r="178" spans="2:10" ht="12" customHeight="1">
      <c r="B178" s="425"/>
      <c r="C178" s="74" t="s">
        <v>341</v>
      </c>
      <c r="D178" s="1358"/>
      <c r="E178" s="1359"/>
      <c r="F178" s="1452" t="s">
        <v>727</v>
      </c>
      <c r="G178" s="1453"/>
      <c r="H178" s="1453"/>
      <c r="I178" s="1453"/>
      <c r="J178" s="1454"/>
    </row>
    <row r="179" spans="2:10" ht="12" customHeight="1">
      <c r="B179" s="425"/>
      <c r="C179" s="926" t="s">
        <v>547</v>
      </c>
    </row>
    <row r="183" spans="2:10">
      <c r="C183" s="1455" t="s">
        <v>728</v>
      </c>
      <c r="D183" s="1456">
        <f>D11+D22+D75+D80+D91+D102+D108+D119+D130+D141+D152</f>
        <v>168070.12213982077</v>
      </c>
      <c r="E183" s="1456">
        <f t="shared" ref="E183:J183" si="39">E11+E22+E75+E80+E91+E102+E108+E119+E130+E141+E152</f>
        <v>50073.747911098959</v>
      </c>
      <c r="F183" s="1456">
        <f t="shared" si="39"/>
        <v>62777.219209492876</v>
      </c>
      <c r="G183" s="1456">
        <f t="shared" si="39"/>
        <v>24888.143520841521</v>
      </c>
      <c r="H183" s="1456">
        <f t="shared" si="39"/>
        <v>30331.011498387408</v>
      </c>
      <c r="I183" s="1456">
        <f t="shared" si="39"/>
        <v>0</v>
      </c>
      <c r="J183" s="1456">
        <f t="shared" si="39"/>
        <v>0</v>
      </c>
    </row>
    <row r="184" spans="2:10">
      <c r="C184" s="1455" t="s">
        <v>729</v>
      </c>
      <c r="D184" s="1456">
        <f>D17-D11+D28-D22+D35+D42+D49+D56+D63+D70+D86-D80+D97-D91+D114-D108-D102+D125-D119+D136-D130+D147-D141+D158-D152+D165+D172</f>
        <v>362681.9959186879</v>
      </c>
      <c r="E184" s="1456">
        <f t="shared" ref="E184:J184" si="40">E17-E11+E28-E22+E35+E42+E49+E56+E63+E70+E86-E80+E97-E91+E114-E108-E102+E125-E119+E136-E130+E147-E141+E158-E152+E165+E172</f>
        <v>0</v>
      </c>
      <c r="F184" s="1456">
        <f t="shared" si="40"/>
        <v>0</v>
      </c>
      <c r="G184" s="1456">
        <f t="shared" si="40"/>
        <v>0</v>
      </c>
      <c r="H184" s="1456">
        <f t="shared" si="40"/>
        <v>0</v>
      </c>
      <c r="I184" s="1456">
        <f t="shared" si="40"/>
        <v>0</v>
      </c>
      <c r="J184" s="1456">
        <f t="shared" si="40"/>
        <v>0</v>
      </c>
    </row>
    <row r="185" spans="2:10">
      <c r="C185" s="1455" t="s">
        <v>339</v>
      </c>
      <c r="D185" s="1456">
        <f>SUM(D183:D184)</f>
        <v>530752.11805850873</v>
      </c>
      <c r="E185" s="1456">
        <f t="shared" ref="E185:J185" si="41">SUM(E183:E184)</f>
        <v>50073.747911098959</v>
      </c>
      <c r="F185" s="1456">
        <f t="shared" si="41"/>
        <v>62777.219209492876</v>
      </c>
      <c r="G185" s="1456">
        <f t="shared" si="41"/>
        <v>24888.143520841521</v>
      </c>
      <c r="H185" s="1456">
        <f t="shared" si="41"/>
        <v>30331.011498387408</v>
      </c>
      <c r="I185" s="1456">
        <f t="shared" si="41"/>
        <v>0</v>
      </c>
      <c r="J185" s="1456">
        <f t="shared" si="41"/>
        <v>0</v>
      </c>
    </row>
  </sheetData>
  <autoFilter ref="A8:J172" xr:uid="{00000000-0009-0000-0000-00000F000000}"/>
  <mergeCells count="1">
    <mergeCell ref="C1:J1"/>
  </mergeCells>
  <pageMargins left="0.7" right="0.7" top="0.75" bottom="0.75" header="0.3" footer="0.3"/>
  <pageSetup paperSize="9" scale="7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pageSetUpPr fitToPage="1"/>
  </sheetPr>
  <dimension ref="A1:Z185"/>
  <sheetViews>
    <sheetView showGridLines="0" zoomScale="120" zoomScaleNormal="120" workbookViewId="0">
      <selection activeCell="K161" sqref="K161"/>
    </sheetView>
  </sheetViews>
  <sheetFormatPr baseColWidth="10" defaultColWidth="12.5703125" defaultRowHeight="15"/>
  <cols>
    <col min="1" max="1" width="12.5703125" style="425" customWidth="1"/>
    <col min="2" max="2" width="2.28515625" style="411" customWidth="1"/>
    <col min="3" max="3" width="52.5703125" style="411" customWidth="1"/>
    <col min="4" max="4" width="7.7109375" style="1328" customWidth="1"/>
    <col min="5" max="5" width="10" style="1328" customWidth="1"/>
    <col min="6" max="6" width="10" style="1245" customWidth="1"/>
    <col min="7" max="10" width="10" style="1328" customWidth="1"/>
    <col min="11" max="11" width="3.42578125" style="411" customWidth="1"/>
    <col min="12" max="12" width="13.5703125" style="411" customWidth="1"/>
    <col min="13" max="15" width="9" style="411" customWidth="1"/>
    <col min="16" max="16" width="7.7109375" style="411" customWidth="1"/>
    <col min="17" max="17" width="8.42578125" style="411" bestFit="1" customWidth="1"/>
    <col min="18" max="18" width="7.7109375" style="411" customWidth="1"/>
    <col min="19" max="19" width="16.42578125" style="411" customWidth="1"/>
    <col min="20" max="27" width="7.7109375" style="411" customWidth="1"/>
    <col min="28" max="16384" width="12.5703125" style="411"/>
  </cols>
  <sheetData>
    <row r="1" spans="1:26" ht="12" customHeight="1">
      <c r="C1" s="1519" t="s">
        <v>225</v>
      </c>
      <c r="D1" s="1519"/>
      <c r="E1" s="1519"/>
      <c r="F1" s="1519"/>
      <c r="G1" s="1519"/>
      <c r="H1" s="1519"/>
      <c r="I1" s="1519"/>
      <c r="J1" s="1519"/>
      <c r="K1" s="412"/>
      <c r="L1" s="412"/>
      <c r="M1" s="412"/>
      <c r="N1" s="412"/>
      <c r="O1" s="412"/>
      <c r="P1" s="412"/>
      <c r="Q1" s="412"/>
      <c r="R1" s="412"/>
      <c r="S1" s="412"/>
      <c r="T1" s="412"/>
      <c r="U1" s="412"/>
      <c r="V1" s="412"/>
      <c r="W1" s="412"/>
      <c r="X1" s="412"/>
      <c r="Y1" s="412"/>
      <c r="Z1" s="412"/>
    </row>
    <row r="2" spans="1:26" ht="12" customHeight="1">
      <c r="C2" s="413"/>
      <c r="D2" s="1168"/>
      <c r="E2" s="1168"/>
      <c r="G2" s="1168"/>
      <c r="H2" s="1168"/>
      <c r="I2" s="1168"/>
      <c r="J2" s="1168"/>
      <c r="K2" s="413"/>
    </row>
    <row r="3" spans="1:26" ht="12" customHeight="1">
      <c r="C3" s="541" t="str">
        <f>'T2 MET'!A3</f>
        <v>Norway - TCZ</v>
      </c>
      <c r="D3" s="1168"/>
      <c r="E3" s="1168"/>
      <c r="G3" s="1168"/>
      <c r="H3" s="1168"/>
      <c r="I3" s="1168"/>
      <c r="J3" s="1168"/>
      <c r="K3" s="413"/>
    </row>
    <row r="4" spans="1:26" ht="12" customHeight="1">
      <c r="C4" s="542" t="str">
        <f>'T2 MET'!A4</f>
        <v>Currency: NOK</v>
      </c>
      <c r="D4" s="1168"/>
      <c r="E4" s="1168"/>
      <c r="G4" s="1168"/>
      <c r="H4" s="1168"/>
      <c r="I4" s="1168"/>
      <c r="J4" s="1168"/>
      <c r="K4" s="413"/>
    </row>
    <row r="5" spans="1:26" ht="12" customHeight="1">
      <c r="C5" s="543" t="str">
        <f>'T2 MET'!A5</f>
        <v>MET</v>
      </c>
      <c r="D5" s="1168"/>
      <c r="E5" s="1246"/>
      <c r="G5" s="1247"/>
      <c r="H5" s="1168"/>
      <c r="I5" s="1168"/>
      <c r="J5" s="1168"/>
      <c r="K5" s="413"/>
    </row>
    <row r="6" spans="1:26" ht="12" customHeight="1">
      <c r="C6" s="414"/>
      <c r="D6" s="1248"/>
      <c r="E6" s="1248"/>
      <c r="F6" s="1248"/>
      <c r="G6" s="1248"/>
      <c r="H6" s="1248"/>
      <c r="I6" s="1248"/>
      <c r="J6" s="1248"/>
      <c r="K6" s="414"/>
    </row>
    <row r="7" spans="1:26" ht="12" customHeight="1">
      <c r="A7" s="425" t="s">
        <v>226</v>
      </c>
      <c r="B7" s="425"/>
      <c r="C7" s="415" t="s">
        <v>227</v>
      </c>
      <c r="D7" s="1249" t="s">
        <v>228</v>
      </c>
      <c r="E7" s="1250">
        <v>2020</v>
      </c>
      <c r="F7" s="1251">
        <v>2021</v>
      </c>
      <c r="G7" s="1251">
        <v>2022</v>
      </c>
      <c r="H7" s="1251">
        <v>2023</v>
      </c>
      <c r="I7" s="1252">
        <v>2024</v>
      </c>
      <c r="J7" s="415" t="s">
        <v>229</v>
      </c>
      <c r="K7" s="413"/>
    </row>
    <row r="8" spans="1:26" ht="12" customHeight="1">
      <c r="B8" s="425"/>
      <c r="C8" s="416"/>
      <c r="D8" s="1253"/>
      <c r="E8" s="1253"/>
      <c r="F8" s="1253"/>
      <c r="G8" s="1253"/>
      <c r="H8" s="1253"/>
      <c r="I8" s="1253"/>
      <c r="J8" s="1253"/>
      <c r="K8" s="413"/>
    </row>
    <row r="9" spans="1:26" ht="12" customHeight="1">
      <c r="A9" s="425">
        <v>2018</v>
      </c>
      <c r="B9" s="425"/>
      <c r="C9" s="417" t="s">
        <v>230</v>
      </c>
      <c r="D9" s="1254">
        <v>167.55508840800366</v>
      </c>
      <c r="E9" s="1255">
        <f>D9</f>
        <v>167.55508840800366</v>
      </c>
      <c r="F9" s="1256"/>
      <c r="G9" s="1257"/>
      <c r="H9" s="1257"/>
      <c r="I9" s="1258"/>
      <c r="J9" s="1259"/>
    </row>
    <row r="10" spans="1:26" ht="12" customHeight="1">
      <c r="A10" s="425">
        <v>2019</v>
      </c>
      <c r="B10" s="425"/>
      <c r="C10" s="419" t="s">
        <v>231</v>
      </c>
      <c r="D10" s="1260">
        <v>155.36098958462463</v>
      </c>
      <c r="E10" s="1261"/>
      <c r="F10" s="1262">
        <f>D10</f>
        <v>155.36098958462463</v>
      </c>
      <c r="G10" s="1263"/>
      <c r="H10" s="1263"/>
      <c r="I10" s="1264"/>
      <c r="J10" s="1265"/>
    </row>
    <row r="11" spans="1:26" ht="12" customHeight="1">
      <c r="A11" s="425" t="s">
        <v>232</v>
      </c>
      <c r="B11" s="425"/>
      <c r="C11" s="556" t="s">
        <v>233</v>
      </c>
      <c r="D11" s="1266">
        <f>SUM(D9:D10)</f>
        <v>322.91607799262829</v>
      </c>
      <c r="E11" s="1267">
        <f t="shared" ref="E11:F11" si="0">SUM(E9:E10)</f>
        <v>167.55508840800366</v>
      </c>
      <c r="F11" s="1268">
        <f t="shared" si="0"/>
        <v>155.36098958462463</v>
      </c>
      <c r="G11" s="1360"/>
      <c r="H11" s="1360"/>
      <c r="I11" s="1361"/>
      <c r="J11" s="1290"/>
    </row>
    <row r="12" spans="1:26" ht="12" customHeight="1">
      <c r="A12" s="425" t="s">
        <v>500</v>
      </c>
      <c r="B12" s="425"/>
      <c r="C12" s="943"/>
      <c r="D12" s="1272"/>
      <c r="E12" s="1272"/>
      <c r="F12" s="1272"/>
      <c r="G12" s="1272"/>
      <c r="H12" s="1272"/>
      <c r="I12" s="1272"/>
      <c r="J12" s="1272"/>
      <c r="K12" s="425"/>
      <c r="L12" s="418"/>
    </row>
    <row r="13" spans="1:26" ht="12" customHeight="1">
      <c r="A13" s="425" t="s">
        <v>501</v>
      </c>
      <c r="B13" s="425"/>
      <c r="C13" s="419" t="s">
        <v>510</v>
      </c>
      <c r="D13" s="1260">
        <f>'T2 MET'!C19</f>
        <v>0</v>
      </c>
      <c r="E13" s="1261"/>
      <c r="F13" s="1304"/>
      <c r="G13" s="1263"/>
      <c r="H13" s="1314">
        <f>D13</f>
        <v>0</v>
      </c>
      <c r="I13" s="1264"/>
      <c r="J13" s="1265"/>
    </row>
    <row r="14" spans="1:26" ht="12" customHeight="1">
      <c r="A14" s="425">
        <v>2022</v>
      </c>
      <c r="B14" s="425"/>
      <c r="C14" s="419" t="s">
        <v>234</v>
      </c>
      <c r="D14" s="1260">
        <f>'T2 MET'!D19</f>
        <v>0</v>
      </c>
      <c r="E14" s="1261"/>
      <c r="F14" s="1304"/>
      <c r="G14" s="1263"/>
      <c r="H14" s="1263"/>
      <c r="I14" s="1305">
        <f>D14</f>
        <v>0</v>
      </c>
      <c r="J14" s="1265"/>
    </row>
    <row r="15" spans="1:26" ht="12" customHeight="1">
      <c r="A15" s="425">
        <v>2023</v>
      </c>
      <c r="B15" s="425"/>
      <c r="C15" s="419" t="s">
        <v>235</v>
      </c>
      <c r="D15" s="1260">
        <f>'T2 MET'!E19</f>
        <v>0</v>
      </c>
      <c r="E15" s="1261"/>
      <c r="F15" s="1304"/>
      <c r="G15" s="1263"/>
      <c r="H15" s="1263"/>
      <c r="I15" s="1274"/>
      <c r="J15" s="1326">
        <f>D15</f>
        <v>0</v>
      </c>
    </row>
    <row r="16" spans="1:26" ht="12" customHeight="1">
      <c r="A16" s="425">
        <v>2024</v>
      </c>
      <c r="B16" s="425"/>
      <c r="C16" s="421" t="s">
        <v>236</v>
      </c>
      <c r="D16" s="1322">
        <f>'T2 MET'!F19</f>
        <v>0</v>
      </c>
      <c r="E16" s="1307"/>
      <c r="F16" s="1308"/>
      <c r="G16" s="1308"/>
      <c r="H16" s="1308"/>
      <c r="I16" s="1309"/>
      <c r="J16" s="1327">
        <f>D16</f>
        <v>0</v>
      </c>
    </row>
    <row r="17" spans="1:12" ht="12" customHeight="1">
      <c r="A17" s="425" t="s">
        <v>237</v>
      </c>
      <c r="B17" s="425"/>
      <c r="C17" s="422" t="s">
        <v>238</v>
      </c>
      <c r="D17" s="1280">
        <f>SUM(D11:D16)</f>
        <v>322.91607799262829</v>
      </c>
      <c r="E17" s="1281">
        <f t="shared" ref="E17:J17" si="1">SUM(E11:E16)</f>
        <v>167.55508840800366</v>
      </c>
      <c r="F17" s="1282">
        <f t="shared" si="1"/>
        <v>155.36098958462463</v>
      </c>
      <c r="G17" s="1282">
        <f t="shared" si="1"/>
        <v>0</v>
      </c>
      <c r="H17" s="1282">
        <f t="shared" si="1"/>
        <v>0</v>
      </c>
      <c r="I17" s="1283">
        <f t="shared" si="1"/>
        <v>0</v>
      </c>
      <c r="J17" s="1280">
        <f t="shared" si="1"/>
        <v>0</v>
      </c>
    </row>
    <row r="18" spans="1:12" ht="4.3499999999999996" customHeight="1">
      <c r="A18" s="540"/>
      <c r="B18" s="540"/>
      <c r="C18" s="427"/>
      <c r="D18" s="1284"/>
      <c r="E18" s="1285"/>
      <c r="F18" s="1285"/>
      <c r="G18" s="1285"/>
      <c r="H18" s="1285"/>
      <c r="I18" s="1285"/>
      <c r="J18" s="1285"/>
    </row>
    <row r="19" spans="1:12" ht="12" customHeight="1">
      <c r="A19" s="425">
        <v>2017</v>
      </c>
      <c r="B19" s="425"/>
      <c r="C19" s="417" t="s">
        <v>239</v>
      </c>
      <c r="D19" s="1298"/>
      <c r="E19" s="1261"/>
      <c r="F19" s="1304"/>
      <c r="G19" s="1263"/>
      <c r="H19" s="1263"/>
      <c r="I19" s="1274"/>
      <c r="J19" s="1265"/>
    </row>
    <row r="20" spans="1:12" ht="12" customHeight="1">
      <c r="A20" s="425">
        <v>2018</v>
      </c>
      <c r="B20" s="425"/>
      <c r="C20" s="419" t="s">
        <v>240</v>
      </c>
      <c r="D20" s="1298"/>
      <c r="E20" s="1261"/>
      <c r="F20" s="1304"/>
      <c r="G20" s="1263"/>
      <c r="H20" s="1263"/>
      <c r="I20" s="1274"/>
      <c r="J20" s="1265"/>
    </row>
    <row r="21" spans="1:12" ht="12" customHeight="1">
      <c r="A21" s="425">
        <v>2019</v>
      </c>
      <c r="B21" s="425"/>
      <c r="C21" s="419" t="s">
        <v>241</v>
      </c>
      <c r="D21" s="1301"/>
      <c r="E21" s="1307"/>
      <c r="F21" s="1308"/>
      <c r="G21" s="1277"/>
      <c r="H21" s="1277"/>
      <c r="I21" s="1278"/>
      <c r="J21" s="1279"/>
    </row>
    <row r="22" spans="1:12" ht="12" customHeight="1">
      <c r="A22" s="425" t="s">
        <v>232</v>
      </c>
      <c r="B22" s="425"/>
      <c r="C22" s="556" t="s">
        <v>242</v>
      </c>
      <c r="D22" s="1294"/>
      <c r="E22" s="1291"/>
      <c r="F22" s="1292"/>
      <c r="G22" s="1292"/>
      <c r="H22" s="1292"/>
      <c r="I22" s="1293"/>
      <c r="J22" s="1294"/>
    </row>
    <row r="23" spans="1:12" ht="12" customHeight="1">
      <c r="A23" s="425" t="s">
        <v>500</v>
      </c>
      <c r="B23" s="425"/>
      <c r="C23" s="943"/>
      <c r="D23" s="1272"/>
      <c r="E23" s="1272"/>
      <c r="F23" s="1272"/>
      <c r="G23" s="1272"/>
      <c r="H23" s="1272"/>
      <c r="I23" s="1272"/>
      <c r="J23" s="1272"/>
      <c r="K23" s="425"/>
      <c r="L23" s="418"/>
    </row>
    <row r="24" spans="1:12" ht="12" customHeight="1">
      <c r="A24" s="425" t="s">
        <v>501</v>
      </c>
      <c r="B24" s="425"/>
      <c r="C24" s="419" t="s">
        <v>502</v>
      </c>
      <c r="D24" s="1298"/>
      <c r="E24" s="1261"/>
      <c r="F24" s="1304"/>
      <c r="G24" s="1263"/>
      <c r="H24" s="1263"/>
      <c r="I24" s="1264"/>
      <c r="J24" s="1265"/>
    </row>
    <row r="25" spans="1:12" ht="12" customHeight="1">
      <c r="A25" s="425">
        <v>2022</v>
      </c>
      <c r="B25" s="425"/>
      <c r="C25" s="419" t="s">
        <v>243</v>
      </c>
      <c r="D25" s="1298"/>
      <c r="E25" s="1261"/>
      <c r="F25" s="1304"/>
      <c r="G25" s="1263"/>
      <c r="H25" s="1263"/>
      <c r="I25" s="1274"/>
      <c r="J25" s="1265"/>
    </row>
    <row r="26" spans="1:12" ht="12" customHeight="1">
      <c r="A26" s="425">
        <v>2023</v>
      </c>
      <c r="B26" s="425"/>
      <c r="C26" s="419" t="s">
        <v>244</v>
      </c>
      <c r="D26" s="1298"/>
      <c r="E26" s="1261"/>
      <c r="F26" s="1304"/>
      <c r="G26" s="1263"/>
      <c r="H26" s="1263"/>
      <c r="I26" s="1274"/>
      <c r="J26" s="1265"/>
    </row>
    <row r="27" spans="1:12" ht="12" customHeight="1">
      <c r="A27" s="425">
        <v>2024</v>
      </c>
      <c r="B27" s="425"/>
      <c r="C27" s="421" t="s">
        <v>245</v>
      </c>
      <c r="D27" s="1301"/>
      <c r="E27" s="1307"/>
      <c r="F27" s="1308"/>
      <c r="G27" s="1277"/>
      <c r="H27" s="1277"/>
      <c r="I27" s="1278"/>
      <c r="J27" s="1279"/>
    </row>
    <row r="28" spans="1:12" ht="12" customHeight="1">
      <c r="A28" s="425" t="s">
        <v>237</v>
      </c>
      <c r="B28" s="425"/>
      <c r="C28" s="422" t="s">
        <v>246</v>
      </c>
      <c r="D28" s="1294"/>
      <c r="E28" s="1291"/>
      <c r="F28" s="1292"/>
      <c r="G28" s="1292"/>
      <c r="H28" s="1292"/>
      <c r="I28" s="1293"/>
      <c r="J28" s="1294"/>
    </row>
    <row r="29" spans="1:12" ht="4.3499999999999996" customHeight="1">
      <c r="A29" s="540"/>
      <c r="B29" s="540"/>
      <c r="C29" s="1065"/>
      <c r="D29" s="1295"/>
      <c r="E29" s="1296"/>
      <c r="F29" s="1296"/>
      <c r="G29" s="1296"/>
      <c r="H29" s="1296"/>
      <c r="I29" s="1296"/>
      <c r="J29" s="1296"/>
    </row>
    <row r="30" spans="1:12" ht="12" customHeight="1">
      <c r="A30" s="425" t="s">
        <v>500</v>
      </c>
      <c r="B30" s="425"/>
      <c r="C30" s="944"/>
      <c r="D30" s="1297"/>
      <c r="E30" s="1297"/>
      <c r="F30" s="1297"/>
      <c r="G30" s="1297"/>
      <c r="H30" s="1297"/>
      <c r="I30" s="1297"/>
      <c r="J30" s="1297"/>
      <c r="K30" s="425"/>
      <c r="L30" s="418"/>
    </row>
    <row r="31" spans="1:12" ht="12" customHeight="1">
      <c r="A31" s="425" t="s">
        <v>501</v>
      </c>
      <c r="B31" s="425"/>
      <c r="C31" s="419" t="s">
        <v>503</v>
      </c>
      <c r="D31" s="1260">
        <f>'T2 MET'!C22</f>
        <v>0</v>
      </c>
      <c r="E31" s="1261"/>
      <c r="F31" s="1304"/>
      <c r="G31" s="1263"/>
      <c r="H31" s="1241">
        <f>D31</f>
        <v>0</v>
      </c>
      <c r="I31" s="1264"/>
      <c r="J31" s="1260">
        <f t="shared" ref="J31:J32" si="2">D31-SUM(E31:I31)</f>
        <v>0</v>
      </c>
    </row>
    <row r="32" spans="1:12" ht="12" customHeight="1">
      <c r="A32" s="425">
        <v>2022</v>
      </c>
      <c r="B32" s="425"/>
      <c r="C32" s="423" t="s">
        <v>247</v>
      </c>
      <c r="D32" s="1260">
        <f>'T2 MET'!D22</f>
        <v>0</v>
      </c>
      <c r="E32" s="1261"/>
      <c r="F32" s="1304"/>
      <c r="G32" s="1263"/>
      <c r="H32" s="1263"/>
      <c r="I32" s="1242">
        <f>D32</f>
        <v>0</v>
      </c>
      <c r="J32" s="1260">
        <f t="shared" si="2"/>
        <v>0</v>
      </c>
    </row>
    <row r="33" spans="1:12" ht="12" customHeight="1">
      <c r="A33" s="425">
        <v>2023</v>
      </c>
      <c r="B33" s="425"/>
      <c r="C33" s="423" t="s">
        <v>248</v>
      </c>
      <c r="D33" s="1260">
        <f>'T2 MET'!E22</f>
        <v>0</v>
      </c>
      <c r="E33" s="1261"/>
      <c r="F33" s="1304"/>
      <c r="G33" s="1263"/>
      <c r="H33" s="1263"/>
      <c r="I33" s="1274"/>
      <c r="J33" s="1260">
        <f>D33</f>
        <v>0</v>
      </c>
    </row>
    <row r="34" spans="1:12" ht="12" customHeight="1">
      <c r="A34" s="425">
        <v>2024</v>
      </c>
      <c r="B34" s="425"/>
      <c r="C34" s="424" t="s">
        <v>249</v>
      </c>
      <c r="D34" s="1322">
        <f>'T2 MET'!F22</f>
        <v>0</v>
      </c>
      <c r="E34" s="1307"/>
      <c r="F34" s="1308"/>
      <c r="G34" s="1308"/>
      <c r="H34" s="1308"/>
      <c r="I34" s="1309"/>
      <c r="J34" s="1322">
        <f>D34</f>
        <v>0</v>
      </c>
    </row>
    <row r="35" spans="1:12" ht="12" customHeight="1">
      <c r="A35" s="425" t="s">
        <v>237</v>
      </c>
      <c r="B35" s="425"/>
      <c r="C35" s="422" t="s">
        <v>250</v>
      </c>
      <c r="D35" s="1280">
        <f>SUM(D30:D34)</f>
        <v>0</v>
      </c>
      <c r="E35" s="1291"/>
      <c r="F35" s="1292"/>
      <c r="G35" s="1292"/>
      <c r="H35" s="1282">
        <f t="shared" ref="H35:J35" si="3">SUM(H30:H34)</f>
        <v>0</v>
      </c>
      <c r="I35" s="1283">
        <f t="shared" si="3"/>
        <v>0</v>
      </c>
      <c r="J35" s="1280">
        <f t="shared" si="3"/>
        <v>0</v>
      </c>
    </row>
    <row r="36" spans="1:12" ht="4.3499999999999996" customHeight="1">
      <c r="A36" s="540"/>
      <c r="B36" s="540"/>
      <c r="C36" s="1065"/>
      <c r="D36" s="1295"/>
      <c r="E36" s="1296"/>
      <c r="F36" s="1296"/>
      <c r="G36" s="1296"/>
      <c r="H36" s="1296"/>
      <c r="I36" s="1296"/>
      <c r="J36" s="1296"/>
    </row>
    <row r="37" spans="1:12" ht="12" customHeight="1">
      <c r="A37" s="425" t="s">
        <v>500</v>
      </c>
      <c r="B37" s="425"/>
      <c r="C37" s="944"/>
      <c r="D37" s="1297"/>
      <c r="E37" s="1297"/>
      <c r="F37" s="1297"/>
      <c r="G37" s="1297"/>
      <c r="H37" s="1297"/>
      <c r="I37" s="1297"/>
      <c r="J37" s="1297"/>
      <c r="K37" s="425"/>
      <c r="L37" s="418"/>
    </row>
    <row r="38" spans="1:12" ht="12" customHeight="1">
      <c r="A38" s="425" t="s">
        <v>501</v>
      </c>
      <c r="B38" s="425"/>
      <c r="C38" s="419" t="s">
        <v>504</v>
      </c>
      <c r="D38" s="1298"/>
      <c r="E38" s="1261"/>
      <c r="F38" s="1304"/>
      <c r="G38" s="1263"/>
      <c r="H38" s="1263"/>
      <c r="I38" s="1264"/>
      <c r="J38" s="1265"/>
    </row>
    <row r="39" spans="1:12" ht="12" customHeight="1">
      <c r="A39" s="425">
        <v>2022</v>
      </c>
      <c r="B39" s="425"/>
      <c r="C39" s="423" t="s">
        <v>251</v>
      </c>
      <c r="D39" s="1298"/>
      <c r="E39" s="1261"/>
      <c r="F39" s="1304"/>
      <c r="G39" s="1263"/>
      <c r="H39" s="1263"/>
      <c r="I39" s="1274"/>
      <c r="J39" s="1265"/>
    </row>
    <row r="40" spans="1:12" ht="12" customHeight="1">
      <c r="A40" s="425">
        <v>2023</v>
      </c>
      <c r="B40" s="425"/>
      <c r="C40" s="423" t="s">
        <v>252</v>
      </c>
      <c r="D40" s="1298"/>
      <c r="E40" s="1261"/>
      <c r="F40" s="1304"/>
      <c r="G40" s="1263"/>
      <c r="H40" s="1263"/>
      <c r="I40" s="1274"/>
      <c r="J40" s="1265"/>
      <c r="L40" s="233"/>
    </row>
    <row r="41" spans="1:12" ht="12" customHeight="1">
      <c r="A41" s="425">
        <v>2024</v>
      </c>
      <c r="B41" s="425"/>
      <c r="C41" s="424" t="s">
        <v>253</v>
      </c>
      <c r="D41" s="1301"/>
      <c r="E41" s="1307"/>
      <c r="F41" s="1308"/>
      <c r="G41" s="1277"/>
      <c r="H41" s="1277"/>
      <c r="I41" s="1278"/>
      <c r="J41" s="1279"/>
    </row>
    <row r="42" spans="1:12" ht="12" customHeight="1">
      <c r="A42" s="425" t="s">
        <v>237</v>
      </c>
      <c r="B42" s="425"/>
      <c r="C42" s="422" t="s">
        <v>254</v>
      </c>
      <c r="D42" s="1294"/>
      <c r="E42" s="1291"/>
      <c r="F42" s="1292"/>
      <c r="G42" s="1292"/>
      <c r="H42" s="1292"/>
      <c r="I42" s="1293"/>
      <c r="J42" s="1294"/>
    </row>
    <row r="43" spans="1:12" ht="4.3499999999999996" customHeight="1">
      <c r="A43" s="540"/>
      <c r="B43" s="540"/>
      <c r="C43" s="1065"/>
      <c r="D43" s="1295"/>
      <c r="E43" s="1296"/>
      <c r="F43" s="1296"/>
      <c r="G43" s="1296"/>
      <c r="H43" s="1296"/>
      <c r="I43" s="1296"/>
      <c r="J43" s="1296"/>
    </row>
    <row r="44" spans="1:12" ht="12" customHeight="1">
      <c r="A44" s="425" t="s">
        <v>500</v>
      </c>
      <c r="B44" s="425"/>
      <c r="C44" s="944"/>
      <c r="D44" s="1297"/>
      <c r="E44" s="1297"/>
      <c r="F44" s="1297"/>
      <c r="G44" s="1297"/>
      <c r="H44" s="1297"/>
      <c r="I44" s="1297"/>
      <c r="J44" s="1297"/>
      <c r="K44" s="425"/>
      <c r="L44" s="418"/>
    </row>
    <row r="45" spans="1:12" ht="12" customHeight="1">
      <c r="A45" s="425" t="s">
        <v>501</v>
      </c>
      <c r="B45" s="425"/>
      <c r="C45" s="419" t="s">
        <v>505</v>
      </c>
      <c r="D45" s="1298"/>
      <c r="E45" s="1261"/>
      <c r="F45" s="1304"/>
      <c r="G45" s="1263"/>
      <c r="H45" s="1263"/>
      <c r="I45" s="1264"/>
      <c r="J45" s="1265"/>
      <c r="L45" s="336"/>
    </row>
    <row r="46" spans="1:12" ht="12" customHeight="1">
      <c r="A46" s="425">
        <v>2022</v>
      </c>
      <c r="B46" s="425"/>
      <c r="C46" s="423" t="s">
        <v>255</v>
      </c>
      <c r="D46" s="1298"/>
      <c r="E46" s="1261"/>
      <c r="F46" s="1304"/>
      <c r="G46" s="1263"/>
      <c r="H46" s="1263"/>
      <c r="I46" s="1274"/>
      <c r="J46" s="1265"/>
    </row>
    <row r="47" spans="1:12" ht="12" customHeight="1">
      <c r="A47" s="425">
        <v>2023</v>
      </c>
      <c r="B47" s="425"/>
      <c r="C47" s="423" t="s">
        <v>256</v>
      </c>
      <c r="D47" s="1298"/>
      <c r="E47" s="1261"/>
      <c r="F47" s="1304"/>
      <c r="G47" s="1263"/>
      <c r="H47" s="1263"/>
      <c r="I47" s="1274"/>
      <c r="J47" s="1265"/>
    </row>
    <row r="48" spans="1:12" ht="12" customHeight="1">
      <c r="A48" s="425">
        <v>2024</v>
      </c>
      <c r="B48" s="425"/>
      <c r="C48" s="424" t="s">
        <v>257</v>
      </c>
      <c r="D48" s="1301"/>
      <c r="E48" s="1307"/>
      <c r="F48" s="1308"/>
      <c r="G48" s="1277"/>
      <c r="H48" s="1277"/>
      <c r="I48" s="1278"/>
      <c r="J48" s="1279"/>
    </row>
    <row r="49" spans="1:12" ht="12" customHeight="1">
      <c r="A49" s="425" t="s">
        <v>237</v>
      </c>
      <c r="B49" s="425"/>
      <c r="C49" s="422" t="s">
        <v>258</v>
      </c>
      <c r="D49" s="1294"/>
      <c r="E49" s="1291"/>
      <c r="F49" s="1292"/>
      <c r="G49" s="1292"/>
      <c r="H49" s="1292"/>
      <c r="I49" s="1293"/>
      <c r="J49" s="1294"/>
    </row>
    <row r="50" spans="1:12" ht="4.3499999999999996" customHeight="1">
      <c r="A50" s="540"/>
      <c r="B50" s="540"/>
      <c r="C50" s="1065"/>
      <c r="D50" s="1295"/>
      <c r="E50" s="1296"/>
      <c r="F50" s="1296"/>
      <c r="G50" s="1296"/>
      <c r="H50" s="1296"/>
      <c r="I50" s="1296"/>
      <c r="J50" s="1296"/>
    </row>
    <row r="51" spans="1:12" ht="12" customHeight="1">
      <c r="A51" s="425" t="s">
        <v>500</v>
      </c>
      <c r="B51" s="425"/>
      <c r="C51" s="944"/>
      <c r="D51" s="1297"/>
      <c r="E51" s="1297"/>
      <c r="F51" s="1297"/>
      <c r="G51" s="1297"/>
      <c r="H51" s="1297"/>
      <c r="I51" s="1297"/>
      <c r="J51" s="1297"/>
      <c r="K51" s="425"/>
      <c r="L51" s="418"/>
    </row>
    <row r="52" spans="1:12" ht="12" customHeight="1">
      <c r="A52" s="425" t="s">
        <v>501</v>
      </c>
      <c r="B52" s="425"/>
      <c r="C52" s="419" t="s">
        <v>506</v>
      </c>
      <c r="D52" s="1260">
        <f>'T2 MET'!C25</f>
        <v>0</v>
      </c>
      <c r="E52" s="1261"/>
      <c r="F52" s="1304"/>
      <c r="G52" s="1263"/>
      <c r="H52" s="1241">
        <f>D52</f>
        <v>0</v>
      </c>
      <c r="I52" s="1264"/>
      <c r="J52" s="1260">
        <f t="shared" ref="J52:J53" si="4">D52-SUM(E52:I52)</f>
        <v>0</v>
      </c>
    </row>
    <row r="53" spans="1:12" ht="12" customHeight="1">
      <c r="A53" s="425">
        <v>2022</v>
      </c>
      <c r="B53" s="425"/>
      <c r="C53" s="423" t="s">
        <v>259</v>
      </c>
      <c r="D53" s="1260">
        <f>'T2 MET'!D25</f>
        <v>0</v>
      </c>
      <c r="E53" s="1261"/>
      <c r="F53" s="1304"/>
      <c r="G53" s="1263"/>
      <c r="H53" s="1263"/>
      <c r="I53" s="1242">
        <f>D53</f>
        <v>0</v>
      </c>
      <c r="J53" s="1260">
        <f t="shared" si="4"/>
        <v>0</v>
      </c>
    </row>
    <row r="54" spans="1:12" ht="12" customHeight="1">
      <c r="A54" s="425">
        <v>2023</v>
      </c>
      <c r="B54" s="425"/>
      <c r="C54" s="423" t="s">
        <v>260</v>
      </c>
      <c r="D54" s="1260">
        <f>'T2 MET'!E25</f>
        <v>0</v>
      </c>
      <c r="E54" s="1261"/>
      <c r="F54" s="1304"/>
      <c r="G54" s="1263"/>
      <c r="H54" s="1263"/>
      <c r="I54" s="1274"/>
      <c r="J54" s="1260">
        <f>D54</f>
        <v>0</v>
      </c>
    </row>
    <row r="55" spans="1:12" ht="12" customHeight="1">
      <c r="A55" s="425">
        <v>2024</v>
      </c>
      <c r="B55" s="425"/>
      <c r="C55" s="424" t="s">
        <v>261</v>
      </c>
      <c r="D55" s="1322">
        <f>'T2 MET'!F25</f>
        <v>0</v>
      </c>
      <c r="E55" s="1307"/>
      <c r="F55" s="1308"/>
      <c r="G55" s="1308"/>
      <c r="H55" s="1308"/>
      <c r="I55" s="1309"/>
      <c r="J55" s="1322">
        <f>D55</f>
        <v>0</v>
      </c>
    </row>
    <row r="56" spans="1:12" ht="12" customHeight="1">
      <c r="A56" s="425" t="s">
        <v>237</v>
      </c>
      <c r="B56" s="425"/>
      <c r="C56" s="422" t="s">
        <v>262</v>
      </c>
      <c r="D56" s="1280">
        <f t="shared" ref="D56:J56" si="5">SUM(D51:D55)</f>
        <v>0</v>
      </c>
      <c r="E56" s="1291"/>
      <c r="F56" s="1292"/>
      <c r="G56" s="1292"/>
      <c r="H56" s="1282">
        <f t="shared" si="5"/>
        <v>0</v>
      </c>
      <c r="I56" s="1283">
        <f t="shared" si="5"/>
        <v>0</v>
      </c>
      <c r="J56" s="1280">
        <f t="shared" si="5"/>
        <v>0</v>
      </c>
    </row>
    <row r="57" spans="1:12" ht="4.3499999999999996" customHeight="1">
      <c r="A57" s="540"/>
      <c r="B57" s="540"/>
      <c r="C57" s="1065"/>
      <c r="D57" s="1295"/>
      <c r="E57" s="1296"/>
      <c r="F57" s="1296"/>
      <c r="G57" s="1296"/>
      <c r="H57" s="1296"/>
      <c r="I57" s="1296"/>
      <c r="J57" s="1296"/>
    </row>
    <row r="58" spans="1:12" ht="12" customHeight="1">
      <c r="A58" s="425" t="s">
        <v>500</v>
      </c>
      <c r="B58" s="425"/>
      <c r="C58" s="944"/>
      <c r="D58" s="1297"/>
      <c r="E58" s="1297"/>
      <c r="F58" s="1297"/>
      <c r="G58" s="1297"/>
      <c r="H58" s="1297"/>
      <c r="I58" s="1297"/>
      <c r="J58" s="1297"/>
      <c r="K58" s="425"/>
      <c r="L58" s="418"/>
    </row>
    <row r="59" spans="1:12" ht="12" customHeight="1">
      <c r="A59" s="425" t="s">
        <v>501</v>
      </c>
      <c r="B59" s="425"/>
      <c r="C59" s="419" t="s">
        <v>507</v>
      </c>
      <c r="D59" s="1260">
        <f>'T2 MET'!C26</f>
        <v>0</v>
      </c>
      <c r="E59" s="1261"/>
      <c r="F59" s="1304"/>
      <c r="G59" s="1263"/>
      <c r="H59" s="1241">
        <f>D59</f>
        <v>0</v>
      </c>
      <c r="I59" s="1264"/>
      <c r="J59" s="1260">
        <f t="shared" ref="J59:J60" si="6">D59-SUM(E59:I59)</f>
        <v>0</v>
      </c>
    </row>
    <row r="60" spans="1:12" ht="12" customHeight="1">
      <c r="A60" s="425">
        <v>2022</v>
      </c>
      <c r="B60" s="425"/>
      <c r="C60" s="423" t="s">
        <v>263</v>
      </c>
      <c r="D60" s="1260">
        <f>'T2 MET'!D26</f>
        <v>0</v>
      </c>
      <c r="E60" s="1261"/>
      <c r="F60" s="1304"/>
      <c r="G60" s="1263"/>
      <c r="H60" s="1263"/>
      <c r="I60" s="1242">
        <f>D60</f>
        <v>0</v>
      </c>
      <c r="J60" s="1260">
        <f t="shared" si="6"/>
        <v>0</v>
      </c>
    </row>
    <row r="61" spans="1:12" ht="12" customHeight="1">
      <c r="A61" s="425">
        <v>2023</v>
      </c>
      <c r="B61" s="425"/>
      <c r="C61" s="423" t="s">
        <v>264</v>
      </c>
      <c r="D61" s="1260">
        <f>'T2 MET'!E26</f>
        <v>0</v>
      </c>
      <c r="E61" s="1261"/>
      <c r="F61" s="1304"/>
      <c r="G61" s="1263"/>
      <c r="H61" s="1263"/>
      <c r="I61" s="1274"/>
      <c r="J61" s="1260">
        <f>D61</f>
        <v>0</v>
      </c>
    </row>
    <row r="62" spans="1:12" ht="12" customHeight="1">
      <c r="A62" s="425">
        <v>2024</v>
      </c>
      <c r="B62" s="425"/>
      <c r="C62" s="424" t="s">
        <v>265</v>
      </c>
      <c r="D62" s="1322">
        <f>'T2 MET'!F26</f>
        <v>0</v>
      </c>
      <c r="E62" s="1307"/>
      <c r="F62" s="1308"/>
      <c r="G62" s="1308"/>
      <c r="H62" s="1308"/>
      <c r="I62" s="1309"/>
      <c r="J62" s="1322">
        <f>D62</f>
        <v>0</v>
      </c>
    </row>
    <row r="63" spans="1:12" ht="12" customHeight="1">
      <c r="A63" s="425" t="s">
        <v>237</v>
      </c>
      <c r="B63" s="425"/>
      <c r="C63" s="422" t="s">
        <v>266</v>
      </c>
      <c r="D63" s="1280">
        <f t="shared" ref="D63:J63" si="7">SUM(D58:D62)</f>
        <v>0</v>
      </c>
      <c r="E63" s="1291"/>
      <c r="F63" s="1292"/>
      <c r="G63" s="1292"/>
      <c r="H63" s="1282">
        <f t="shared" si="7"/>
        <v>0</v>
      </c>
      <c r="I63" s="1283">
        <f t="shared" si="7"/>
        <v>0</v>
      </c>
      <c r="J63" s="1280">
        <f t="shared" si="7"/>
        <v>0</v>
      </c>
    </row>
    <row r="64" spans="1:12" ht="4.3499999999999996" customHeight="1">
      <c r="A64" s="540"/>
      <c r="B64" s="540"/>
      <c r="C64" s="1065"/>
      <c r="D64" s="1295"/>
      <c r="E64" s="1296"/>
      <c r="F64" s="1296"/>
      <c r="G64" s="1296"/>
      <c r="H64" s="1296"/>
      <c r="I64" s="1296"/>
      <c r="J64" s="1296"/>
    </row>
    <row r="65" spans="1:12" ht="12" customHeight="1">
      <c r="A65" s="425" t="s">
        <v>500</v>
      </c>
      <c r="B65" s="425"/>
      <c r="C65" s="944"/>
      <c r="D65" s="1297"/>
      <c r="E65" s="1297"/>
      <c r="F65" s="1297"/>
      <c r="G65" s="1297"/>
      <c r="H65" s="1297"/>
      <c r="I65" s="1297"/>
      <c r="J65" s="1297"/>
      <c r="K65" s="425"/>
      <c r="L65" s="418"/>
    </row>
    <row r="66" spans="1:12" ht="12" customHeight="1">
      <c r="A66" s="425" t="s">
        <v>501</v>
      </c>
      <c r="B66" s="425"/>
      <c r="C66" s="419" t="s">
        <v>508</v>
      </c>
      <c r="D66" s="1260">
        <f>'T2 MET'!C27</f>
        <v>0</v>
      </c>
      <c r="E66" s="1261"/>
      <c r="F66" s="1304"/>
      <c r="G66" s="1263"/>
      <c r="H66" s="1241">
        <f>+D66</f>
        <v>0</v>
      </c>
      <c r="I66" s="1264"/>
      <c r="J66" s="1260">
        <f t="shared" ref="J66:J67" si="8">D66-SUM(E66:I66)</f>
        <v>0</v>
      </c>
    </row>
    <row r="67" spans="1:12" ht="12" customHeight="1">
      <c r="A67" s="425">
        <v>2022</v>
      </c>
      <c r="B67" s="425"/>
      <c r="C67" s="423" t="s">
        <v>267</v>
      </c>
      <c r="D67" s="1260">
        <f>'T2 MET'!D27</f>
        <v>0</v>
      </c>
      <c r="E67" s="1261"/>
      <c r="F67" s="1304"/>
      <c r="G67" s="1263"/>
      <c r="H67" s="1263"/>
      <c r="I67" s="1242">
        <f>+D67</f>
        <v>0</v>
      </c>
      <c r="J67" s="1260">
        <f t="shared" si="8"/>
        <v>0</v>
      </c>
    </row>
    <row r="68" spans="1:12" ht="12" customHeight="1">
      <c r="A68" s="425">
        <v>2023</v>
      </c>
      <c r="B68" s="425"/>
      <c r="C68" s="423" t="s">
        <v>268</v>
      </c>
      <c r="D68" s="1260">
        <f>'T2 MET'!E27</f>
        <v>0</v>
      </c>
      <c r="E68" s="1261"/>
      <c r="F68" s="1304"/>
      <c r="G68" s="1263"/>
      <c r="H68" s="1263"/>
      <c r="I68" s="1274"/>
      <c r="J68" s="1260">
        <f>D68</f>
        <v>0</v>
      </c>
    </row>
    <row r="69" spans="1:12" ht="12" customHeight="1">
      <c r="A69" s="425">
        <v>2024</v>
      </c>
      <c r="B69" s="425"/>
      <c r="C69" s="424" t="s">
        <v>269</v>
      </c>
      <c r="D69" s="1322">
        <f>'T2 MET'!F27</f>
        <v>0</v>
      </c>
      <c r="E69" s="1307"/>
      <c r="F69" s="1308"/>
      <c r="G69" s="1308"/>
      <c r="H69" s="1308"/>
      <c r="I69" s="1309"/>
      <c r="J69" s="1322">
        <f>D69</f>
        <v>0</v>
      </c>
    </row>
    <row r="70" spans="1:12" ht="12" customHeight="1">
      <c r="A70" s="425" t="s">
        <v>237</v>
      </c>
      <c r="B70" s="425"/>
      <c r="C70" s="422" t="s">
        <v>270</v>
      </c>
      <c r="D70" s="1280">
        <f t="shared" ref="D70:J70" si="9">SUM(D65:D69)</f>
        <v>0</v>
      </c>
      <c r="E70" s="1291"/>
      <c r="F70" s="1292"/>
      <c r="G70" s="1292"/>
      <c r="H70" s="1282">
        <f t="shared" si="9"/>
        <v>0</v>
      </c>
      <c r="I70" s="1283">
        <f t="shared" si="9"/>
        <v>0</v>
      </c>
      <c r="J70" s="1280">
        <f t="shared" si="9"/>
        <v>0</v>
      </c>
    </row>
    <row r="71" spans="1:12" ht="4.3499999999999996" customHeight="1">
      <c r="A71" s="540"/>
      <c r="B71" s="540"/>
      <c r="C71" s="427"/>
      <c r="D71" s="1310"/>
      <c r="E71" s="1311"/>
      <c r="F71" s="1311"/>
      <c r="G71" s="1311"/>
      <c r="H71" s="1311"/>
      <c r="I71" s="1311"/>
      <c r="J71" s="1311"/>
    </row>
    <row r="72" spans="1:12" ht="12" customHeight="1">
      <c r="A72" s="425">
        <v>2017</v>
      </c>
      <c r="B72" s="425"/>
      <c r="C72" s="417" t="s">
        <v>271</v>
      </c>
      <c r="D72" s="1254">
        <v>0</v>
      </c>
      <c r="E72" s="1312">
        <v>0</v>
      </c>
      <c r="F72" s="1303">
        <v>0</v>
      </c>
      <c r="G72" s="1303">
        <v>0</v>
      </c>
      <c r="H72" s="1303">
        <v>0</v>
      </c>
      <c r="I72" s="1319">
        <v>0</v>
      </c>
      <c r="J72" s="1254">
        <f t="shared" ref="J72:J74" si="10">D72-SUM(E72:I72)</f>
        <v>0</v>
      </c>
    </row>
    <row r="73" spans="1:12" ht="12" customHeight="1">
      <c r="A73" s="425">
        <v>2018</v>
      </c>
      <c r="B73" s="425"/>
      <c r="C73" s="419" t="s">
        <v>272</v>
      </c>
      <c r="D73" s="1260">
        <v>0</v>
      </c>
      <c r="E73" s="1313">
        <v>0</v>
      </c>
      <c r="F73" s="1314">
        <v>0</v>
      </c>
      <c r="G73" s="1314">
        <v>0</v>
      </c>
      <c r="H73" s="1314">
        <v>0</v>
      </c>
      <c r="I73" s="1305">
        <v>0</v>
      </c>
      <c r="J73" s="1260">
        <f t="shared" si="10"/>
        <v>0</v>
      </c>
    </row>
    <row r="74" spans="1:12" ht="12" customHeight="1">
      <c r="A74" s="425">
        <v>2019</v>
      </c>
      <c r="B74" s="425"/>
      <c r="C74" s="419" t="s">
        <v>273</v>
      </c>
      <c r="D74" s="1322">
        <v>0</v>
      </c>
      <c r="E74" s="1307"/>
      <c r="F74" s="1362">
        <v>0</v>
      </c>
      <c r="G74" s="1362">
        <v>0</v>
      </c>
      <c r="H74" s="1362">
        <v>0</v>
      </c>
      <c r="I74" s="1363">
        <v>0</v>
      </c>
      <c r="J74" s="1322">
        <f t="shared" si="10"/>
        <v>0</v>
      </c>
    </row>
    <row r="75" spans="1:12" ht="12" customHeight="1">
      <c r="A75" s="425" t="s">
        <v>237</v>
      </c>
      <c r="B75" s="425"/>
      <c r="C75" s="559" t="s">
        <v>274</v>
      </c>
      <c r="D75" s="1280">
        <f>SUM(D72:D74)</f>
        <v>0</v>
      </c>
      <c r="E75" s="1281">
        <f t="shared" ref="E75:J75" si="11">SUM(E72:E74)</f>
        <v>0</v>
      </c>
      <c r="F75" s="1282">
        <f t="shared" si="11"/>
        <v>0</v>
      </c>
      <c r="G75" s="1282">
        <f t="shared" si="11"/>
        <v>0</v>
      </c>
      <c r="H75" s="1282">
        <f t="shared" si="11"/>
        <v>0</v>
      </c>
      <c r="I75" s="1283">
        <f t="shared" si="11"/>
        <v>0</v>
      </c>
      <c r="J75" s="1280">
        <f t="shared" si="11"/>
        <v>0</v>
      </c>
    </row>
    <row r="76" spans="1:12" ht="4.3499999999999996" customHeight="1">
      <c r="A76" s="540"/>
      <c r="B76" s="540"/>
      <c r="C76" s="427"/>
      <c r="D76" s="1310"/>
      <c r="E76" s="1311"/>
      <c r="F76" s="1311"/>
      <c r="G76" s="1311"/>
      <c r="H76" s="1311"/>
      <c r="I76" s="1311"/>
      <c r="J76" s="1311"/>
    </row>
    <row r="77" spans="1:12" ht="12" customHeight="1">
      <c r="A77" s="425">
        <v>2017</v>
      </c>
      <c r="B77" s="425"/>
      <c r="C77" s="417" t="s">
        <v>275</v>
      </c>
      <c r="D77" s="1364"/>
      <c r="E77" s="1287"/>
      <c r="F77" s="1257"/>
      <c r="G77" s="1365"/>
      <c r="H77" s="1365"/>
      <c r="I77" s="1366"/>
      <c r="J77" s="1259"/>
    </row>
    <row r="78" spans="1:12" ht="12" customHeight="1">
      <c r="A78" s="425">
        <v>2018</v>
      </c>
      <c r="B78" s="425"/>
      <c r="C78" s="419" t="s">
        <v>276</v>
      </c>
      <c r="D78" s="1367"/>
      <c r="E78" s="1273"/>
      <c r="F78" s="1263"/>
      <c r="G78" s="1263"/>
      <c r="H78" s="1263"/>
      <c r="I78" s="1274"/>
      <c r="J78" s="1265"/>
    </row>
    <row r="79" spans="1:12" ht="12" customHeight="1">
      <c r="A79" s="425">
        <v>2019</v>
      </c>
      <c r="B79" s="425"/>
      <c r="C79" s="419" t="s">
        <v>277</v>
      </c>
      <c r="D79" s="1368"/>
      <c r="E79" s="1276"/>
      <c r="F79" s="1277"/>
      <c r="G79" s="1263"/>
      <c r="H79" s="1263"/>
      <c r="I79" s="1264"/>
      <c r="J79" s="1265"/>
    </row>
    <row r="80" spans="1:12" ht="12" customHeight="1">
      <c r="A80" s="425" t="s">
        <v>232</v>
      </c>
      <c r="B80" s="425"/>
      <c r="C80" s="556" t="s">
        <v>278</v>
      </c>
      <c r="D80" s="1290"/>
      <c r="E80" s="1369"/>
      <c r="F80" s="1360"/>
      <c r="G80" s="1360"/>
      <c r="H80" s="1360"/>
      <c r="I80" s="1370"/>
      <c r="J80" s="1290"/>
    </row>
    <row r="81" spans="1:12" ht="12" customHeight="1">
      <c r="A81" s="425" t="s">
        <v>500</v>
      </c>
      <c r="B81" s="425"/>
      <c r="C81" s="1066"/>
      <c r="D81" s="1315"/>
      <c r="E81" s="1315"/>
      <c r="F81" s="1315"/>
      <c r="G81" s="1315"/>
      <c r="H81" s="1315"/>
      <c r="I81" s="1315"/>
      <c r="J81" s="1315"/>
      <c r="K81" s="425"/>
      <c r="L81" s="418"/>
    </row>
    <row r="82" spans="1:12" ht="12" customHeight="1">
      <c r="A82" s="425" t="s">
        <v>500</v>
      </c>
      <c r="B82" s="425"/>
      <c r="C82" s="944"/>
      <c r="D82" s="1297"/>
      <c r="E82" s="1297"/>
      <c r="F82" s="1297"/>
      <c r="G82" s="1297"/>
      <c r="H82" s="1297"/>
      <c r="I82" s="1297"/>
      <c r="J82" s="1297"/>
      <c r="K82" s="425"/>
      <c r="L82" s="418"/>
    </row>
    <row r="83" spans="1:12" ht="12" customHeight="1">
      <c r="A83" s="425">
        <v>2022</v>
      </c>
      <c r="B83" s="425"/>
      <c r="C83" s="419" t="s">
        <v>279</v>
      </c>
      <c r="D83" s="1298"/>
      <c r="E83" s="1261"/>
      <c r="F83" s="1304"/>
      <c r="G83" s="1263"/>
      <c r="H83" s="1263"/>
      <c r="I83" s="1274"/>
      <c r="J83" s="1265"/>
    </row>
    <row r="84" spans="1:12" ht="12" customHeight="1">
      <c r="A84" s="425">
        <v>2023</v>
      </c>
      <c r="B84" s="425"/>
      <c r="C84" s="419" t="s">
        <v>280</v>
      </c>
      <c r="D84" s="1298"/>
      <c r="E84" s="1261"/>
      <c r="F84" s="1304"/>
      <c r="G84" s="1263"/>
      <c r="H84" s="1263"/>
      <c r="I84" s="1274"/>
      <c r="J84" s="1265"/>
    </row>
    <row r="85" spans="1:12" ht="12" customHeight="1">
      <c r="A85" s="425">
        <v>2024</v>
      </c>
      <c r="B85" s="425"/>
      <c r="C85" s="421" t="s">
        <v>281</v>
      </c>
      <c r="D85" s="1301"/>
      <c r="E85" s="1307"/>
      <c r="F85" s="1308"/>
      <c r="G85" s="1277"/>
      <c r="H85" s="1277"/>
      <c r="I85" s="1278"/>
      <c r="J85" s="1279"/>
    </row>
    <row r="86" spans="1:12" ht="12" customHeight="1">
      <c r="A86" s="425" t="s">
        <v>237</v>
      </c>
      <c r="B86" s="425"/>
      <c r="C86" s="422" t="s">
        <v>282</v>
      </c>
      <c r="D86" s="1294"/>
      <c r="E86" s="1291"/>
      <c r="F86" s="1292"/>
      <c r="G86" s="1292"/>
      <c r="H86" s="1292"/>
      <c r="I86" s="1293"/>
      <c r="J86" s="1294"/>
    </row>
    <row r="87" spans="1:12" ht="4.3499999999999996" customHeight="1">
      <c r="A87" s="540"/>
      <c r="B87" s="540"/>
      <c r="C87" s="427"/>
      <c r="D87" s="1310"/>
      <c r="E87" s="1310"/>
      <c r="F87" s="1310"/>
      <c r="G87" s="1310"/>
      <c r="H87" s="1310"/>
      <c r="I87" s="1318"/>
      <c r="J87" s="1310"/>
    </row>
    <row r="88" spans="1:12" ht="12" customHeight="1">
      <c r="A88" s="425">
        <v>2017</v>
      </c>
      <c r="B88" s="425"/>
      <c r="C88" s="417" t="s">
        <v>283</v>
      </c>
      <c r="D88" s="1254">
        <v>0</v>
      </c>
      <c r="E88" s="1312">
        <v>0</v>
      </c>
      <c r="F88" s="1303">
        <v>0</v>
      </c>
      <c r="G88" s="1303">
        <v>0</v>
      </c>
      <c r="H88" s="1303">
        <v>0</v>
      </c>
      <c r="I88" s="1319">
        <v>0</v>
      </c>
      <c r="J88" s="1259"/>
    </row>
    <row r="89" spans="1:12" ht="12" customHeight="1">
      <c r="A89" s="425">
        <v>2018</v>
      </c>
      <c r="B89" s="425"/>
      <c r="C89" s="419" t="s">
        <v>284</v>
      </c>
      <c r="D89" s="1260">
        <v>0</v>
      </c>
      <c r="E89" s="1313">
        <v>0</v>
      </c>
      <c r="F89" s="1314">
        <v>0</v>
      </c>
      <c r="G89" s="1314">
        <v>0</v>
      </c>
      <c r="H89" s="1314">
        <v>0</v>
      </c>
      <c r="I89" s="1305">
        <v>0</v>
      </c>
      <c r="J89" s="1265"/>
    </row>
    <row r="90" spans="1:12" ht="12" customHeight="1">
      <c r="A90" s="425">
        <v>2019</v>
      </c>
      <c r="B90" s="425"/>
      <c r="C90" s="419" t="s">
        <v>285</v>
      </c>
      <c r="D90" s="1322">
        <v>0</v>
      </c>
      <c r="E90" s="1307"/>
      <c r="F90" s="1362">
        <v>0</v>
      </c>
      <c r="G90" s="1362">
        <v>0</v>
      </c>
      <c r="H90" s="1362">
        <v>0</v>
      </c>
      <c r="I90" s="1363">
        <v>0</v>
      </c>
      <c r="J90" s="1265"/>
    </row>
    <row r="91" spans="1:12" ht="12" customHeight="1">
      <c r="A91" s="425" t="s">
        <v>232</v>
      </c>
      <c r="B91" s="425"/>
      <c r="C91" s="556" t="s">
        <v>286</v>
      </c>
      <c r="D91" s="1266">
        <f>SUM(D88:D90)</f>
        <v>0</v>
      </c>
      <c r="E91" s="1325">
        <f t="shared" ref="E91:I91" si="12">SUM(E88:E90)</f>
        <v>0</v>
      </c>
      <c r="F91" s="1268">
        <f t="shared" si="12"/>
        <v>0</v>
      </c>
      <c r="G91" s="1268">
        <f t="shared" si="12"/>
        <v>0</v>
      </c>
      <c r="H91" s="1268">
        <f t="shared" si="12"/>
        <v>0</v>
      </c>
      <c r="I91" s="1320">
        <f t="shared" si="12"/>
        <v>0</v>
      </c>
      <c r="J91" s="1290"/>
    </row>
    <row r="92" spans="1:12" ht="12" customHeight="1">
      <c r="A92" s="425" t="s">
        <v>500</v>
      </c>
      <c r="B92" s="425"/>
      <c r="C92" s="943"/>
      <c r="D92" s="1272"/>
      <c r="E92" s="1272"/>
      <c r="F92" s="1272"/>
      <c r="G92" s="1272"/>
      <c r="H92" s="1272"/>
      <c r="I92" s="1272"/>
      <c r="J92" s="1272"/>
      <c r="K92" s="425"/>
      <c r="L92" s="418"/>
    </row>
    <row r="93" spans="1:12" ht="12" customHeight="1">
      <c r="A93" s="425" t="s">
        <v>501</v>
      </c>
      <c r="B93" s="425"/>
      <c r="C93" s="419" t="s">
        <v>517</v>
      </c>
      <c r="D93" s="1321">
        <f>'T2 MET'!C59</f>
        <v>0</v>
      </c>
      <c r="E93" s="1261"/>
      <c r="F93" s="1304"/>
      <c r="G93" s="1263"/>
      <c r="H93" s="1314">
        <f>+D93</f>
        <v>0</v>
      </c>
      <c r="I93" s="1264"/>
      <c r="J93" s="1265"/>
    </row>
    <row r="94" spans="1:12" ht="12" customHeight="1">
      <c r="A94" s="425">
        <v>2022</v>
      </c>
      <c r="B94" s="425"/>
      <c r="C94" s="419" t="s">
        <v>287</v>
      </c>
      <c r="D94" s="1260">
        <f>'T2 MET'!D59</f>
        <v>0</v>
      </c>
      <c r="E94" s="1261"/>
      <c r="F94" s="1304"/>
      <c r="G94" s="1263"/>
      <c r="H94" s="1263"/>
      <c r="I94" s="1305">
        <f>+D94</f>
        <v>0</v>
      </c>
      <c r="J94" s="1265"/>
    </row>
    <row r="95" spans="1:12" ht="12" customHeight="1">
      <c r="A95" s="425">
        <v>2023</v>
      </c>
      <c r="B95" s="425"/>
      <c r="C95" s="419" t="s">
        <v>288</v>
      </c>
      <c r="D95" s="1260">
        <f>'T2 MET'!E59</f>
        <v>0</v>
      </c>
      <c r="E95" s="1261"/>
      <c r="F95" s="1304"/>
      <c r="G95" s="1263"/>
      <c r="H95" s="1263"/>
      <c r="I95" s="1274"/>
      <c r="J95" s="1260">
        <f>+D95</f>
        <v>0</v>
      </c>
    </row>
    <row r="96" spans="1:12" ht="12" customHeight="1">
      <c r="A96" s="425">
        <v>2024</v>
      </c>
      <c r="B96" s="425"/>
      <c r="C96" s="421" t="s">
        <v>289</v>
      </c>
      <c r="D96" s="1322">
        <f>'T2 MET'!F59</f>
        <v>0</v>
      </c>
      <c r="E96" s="1307"/>
      <c r="F96" s="1308"/>
      <c r="G96" s="1308"/>
      <c r="H96" s="1308"/>
      <c r="I96" s="1309"/>
      <c r="J96" s="1322">
        <f>+D96</f>
        <v>0</v>
      </c>
    </row>
    <row r="97" spans="1:12" ht="12" customHeight="1">
      <c r="A97" s="425" t="s">
        <v>237</v>
      </c>
      <c r="B97" s="425"/>
      <c r="C97" s="422" t="s">
        <v>290</v>
      </c>
      <c r="D97" s="1280">
        <f>SUM(D91:D96)</f>
        <v>0</v>
      </c>
      <c r="E97" s="1281">
        <f t="shared" ref="E97:J97" si="13">SUM(E91:E96)</f>
        <v>0</v>
      </c>
      <c r="F97" s="1282">
        <f t="shared" si="13"/>
        <v>0</v>
      </c>
      <c r="G97" s="1282">
        <f t="shared" si="13"/>
        <v>0</v>
      </c>
      <c r="H97" s="1282">
        <f t="shared" si="13"/>
        <v>0</v>
      </c>
      <c r="I97" s="1283">
        <f t="shared" si="13"/>
        <v>0</v>
      </c>
      <c r="J97" s="1280">
        <f t="shared" si="13"/>
        <v>0</v>
      </c>
    </row>
    <row r="98" spans="1:12" ht="4.3499999999999996" customHeight="1">
      <c r="A98" s="540"/>
      <c r="B98" s="540"/>
      <c r="C98" s="427"/>
      <c r="D98" s="1310"/>
      <c r="E98" s="1311"/>
      <c r="F98" s="1311"/>
      <c r="G98" s="1311"/>
      <c r="H98" s="1311"/>
      <c r="I98" s="1311"/>
      <c r="J98" s="1311"/>
    </row>
    <row r="99" spans="1:12" ht="12" customHeight="1">
      <c r="A99" s="425">
        <v>2017</v>
      </c>
      <c r="B99" s="425"/>
      <c r="C99" s="417" t="s">
        <v>291</v>
      </c>
      <c r="D99" s="1254">
        <v>0</v>
      </c>
      <c r="E99" s="1312">
        <v>0</v>
      </c>
      <c r="F99" s="1303">
        <v>0</v>
      </c>
      <c r="G99" s="1303">
        <v>0</v>
      </c>
      <c r="H99" s="1303">
        <v>0</v>
      </c>
      <c r="I99" s="1319">
        <v>0</v>
      </c>
      <c r="J99" s="1254">
        <f t="shared" ref="J99:J101" si="14">D99-SUM(E99:I99)</f>
        <v>0</v>
      </c>
    </row>
    <row r="100" spans="1:12" ht="12" customHeight="1">
      <c r="A100" s="425">
        <v>2018</v>
      </c>
      <c r="B100" s="425"/>
      <c r="C100" s="419" t="s">
        <v>292</v>
      </c>
      <c r="D100" s="1260">
        <v>754.01365782269329</v>
      </c>
      <c r="E100" s="1313">
        <f>D100</f>
        <v>754.01365782269329</v>
      </c>
      <c r="F100" s="1314">
        <v>0</v>
      </c>
      <c r="G100" s="1314">
        <v>0</v>
      </c>
      <c r="H100" s="1314">
        <v>0</v>
      </c>
      <c r="I100" s="1305">
        <v>0</v>
      </c>
      <c r="J100" s="1260">
        <f t="shared" si="14"/>
        <v>0</v>
      </c>
    </row>
    <row r="101" spans="1:12" ht="12" customHeight="1">
      <c r="A101" s="425">
        <v>2019</v>
      </c>
      <c r="B101" s="425"/>
      <c r="C101" s="419" t="s">
        <v>293</v>
      </c>
      <c r="D101" s="1322">
        <v>932.65837771324334</v>
      </c>
      <c r="E101" s="1307"/>
      <c r="F101" s="1362">
        <f>D101</f>
        <v>932.65837771324334</v>
      </c>
      <c r="G101" s="1362">
        <v>0</v>
      </c>
      <c r="H101" s="1362">
        <v>0</v>
      </c>
      <c r="I101" s="1363">
        <v>0</v>
      </c>
      <c r="J101" s="1322">
        <f t="shared" si="14"/>
        <v>0</v>
      </c>
    </row>
    <row r="102" spans="1:12" ht="12" customHeight="1">
      <c r="A102" s="425" t="s">
        <v>232</v>
      </c>
      <c r="B102" s="425"/>
      <c r="C102" s="556" t="s">
        <v>294</v>
      </c>
      <c r="D102" s="1266">
        <f t="shared" ref="D102:J102" si="15">SUM(D99:D101)</f>
        <v>1686.6720355359366</v>
      </c>
      <c r="E102" s="1325">
        <f t="shared" si="15"/>
        <v>754.01365782269329</v>
      </c>
      <c r="F102" s="1268">
        <f t="shared" si="15"/>
        <v>932.65837771324334</v>
      </c>
      <c r="G102" s="1268">
        <f t="shared" si="15"/>
        <v>0</v>
      </c>
      <c r="H102" s="1268">
        <f t="shared" si="15"/>
        <v>0</v>
      </c>
      <c r="I102" s="1320">
        <f t="shared" si="15"/>
        <v>0</v>
      </c>
      <c r="J102" s="1266">
        <f t="shared" si="15"/>
        <v>0</v>
      </c>
    </row>
    <row r="103" spans="1:12" ht="12" customHeight="1">
      <c r="A103" s="425" t="s">
        <v>501</v>
      </c>
      <c r="B103" s="425"/>
      <c r="C103" s="1393" t="s">
        <v>720</v>
      </c>
      <c r="D103" s="1395">
        <f>(IF('T1'!R68&gt;0,((E11+E22+E75+E80+E91+E102+E108+E119+E130+E141+E152)*-('T1'!R68/'T2'!C104-1)),0))</f>
        <v>458.0471040680323</v>
      </c>
      <c r="E103" s="1396"/>
      <c r="F103" s="1397"/>
      <c r="G103" s="1239">
        <f>D103</f>
        <v>458.0471040680323</v>
      </c>
      <c r="H103" s="1239">
        <v>0</v>
      </c>
      <c r="I103" s="1239">
        <v>0</v>
      </c>
      <c r="J103" s="1254">
        <f>D103-SUM(E103:I103)</f>
        <v>0</v>
      </c>
      <c r="K103" s="425"/>
      <c r="L103" s="418"/>
    </row>
    <row r="104" spans="1:12" ht="12" customHeight="1">
      <c r="A104" s="425" t="s">
        <v>501</v>
      </c>
      <c r="B104" s="425"/>
      <c r="C104" s="1393" t="s">
        <v>721</v>
      </c>
      <c r="D104" s="1436">
        <f>(IF('T1'!L68&gt;0,((F11+F22+F75+F80+F91+F102+F108+F119+F130+F141+F152)*-('T1'!L68/'T2'!C105-1)),0))</f>
        <v>525.67998958115072</v>
      </c>
      <c r="E104" s="1398"/>
      <c r="F104" s="1399"/>
      <c r="G104" s="1400"/>
      <c r="H104" s="1439">
        <f>+D104</f>
        <v>525.67998958115072</v>
      </c>
      <c r="I104" s="1242">
        <v>0</v>
      </c>
      <c r="J104" s="1260">
        <f>D104-SUM(E104:I104)</f>
        <v>0</v>
      </c>
    </row>
    <row r="105" spans="1:12" ht="12" customHeight="1">
      <c r="A105" s="425">
        <v>2022</v>
      </c>
      <c r="B105" s="425"/>
      <c r="C105" s="1393" t="s">
        <v>295</v>
      </c>
      <c r="D105" s="1260">
        <f>(G11+G22+G75+G80+G91+G102+G108+G119+G130+G141+G152)*-'T2'!D40</f>
        <v>0</v>
      </c>
      <c r="E105" s="1398"/>
      <c r="F105" s="1399"/>
      <c r="G105" s="1400"/>
      <c r="H105" s="1299"/>
      <c r="I105" s="1242">
        <f>+D105</f>
        <v>0</v>
      </c>
      <c r="J105" s="1260">
        <f>D105-SUM(E105:I105)</f>
        <v>0</v>
      </c>
    </row>
    <row r="106" spans="1:12" ht="12" customHeight="1">
      <c r="A106" s="425">
        <v>2023</v>
      </c>
      <c r="B106" s="425"/>
      <c r="C106" s="1393" t="s">
        <v>296</v>
      </c>
      <c r="D106" s="1260">
        <f>(H11+H22+H75+H80+H91+H102+H108+H119+H130+H141+H152)*-'T2'!E40</f>
        <v>0</v>
      </c>
      <c r="E106" s="1398"/>
      <c r="F106" s="1399"/>
      <c r="G106" s="1400"/>
      <c r="H106" s="1400"/>
      <c r="I106" s="1401"/>
      <c r="J106" s="1260">
        <f>D106-SUM(E106:I106)</f>
        <v>0</v>
      </c>
    </row>
    <row r="107" spans="1:12" ht="12" customHeight="1">
      <c r="A107" s="425">
        <v>2024</v>
      </c>
      <c r="B107" s="425"/>
      <c r="C107" s="1394" t="s">
        <v>297</v>
      </c>
      <c r="D107" s="1306">
        <f>(I11+I22+I75+I80+I91+I102+I108+I119+I130+I141+I152)*-'T2'!F40</f>
        <v>0</v>
      </c>
      <c r="E107" s="1402"/>
      <c r="F107" s="1403"/>
      <c r="G107" s="1404"/>
      <c r="H107" s="1404"/>
      <c r="I107" s="1405"/>
      <c r="J107" s="1306">
        <f>D107-SUM(E107:I107)</f>
        <v>0</v>
      </c>
    </row>
    <row r="108" spans="1:12" ht="12" customHeight="1">
      <c r="A108" s="425" t="s">
        <v>232</v>
      </c>
      <c r="B108" s="425"/>
      <c r="C108" s="556" t="s">
        <v>298</v>
      </c>
      <c r="D108" s="1306">
        <f t="shared" ref="D108:J108" si="16">SUM(D103:D107)</f>
        <v>983.72709364918296</v>
      </c>
      <c r="E108" s="1325">
        <f t="shared" si="16"/>
        <v>0</v>
      </c>
      <c r="F108" s="1268">
        <f t="shared" si="16"/>
        <v>0</v>
      </c>
      <c r="G108" s="1268">
        <f>SUM(G103:G107)</f>
        <v>458.0471040680323</v>
      </c>
      <c r="H108" s="1268">
        <f t="shared" si="16"/>
        <v>525.67998958115072</v>
      </c>
      <c r="I108" s="1320">
        <f>SUM(I103:I107)</f>
        <v>0</v>
      </c>
      <c r="J108" s="1266">
        <f t="shared" si="16"/>
        <v>0</v>
      </c>
    </row>
    <row r="109" spans="1:12" ht="12" customHeight="1">
      <c r="A109" s="425" t="s">
        <v>500</v>
      </c>
      <c r="B109" s="425"/>
      <c r="C109" s="943"/>
      <c r="D109" s="1272"/>
      <c r="E109" s="1272"/>
      <c r="F109" s="1272"/>
      <c r="G109" s="1272"/>
      <c r="H109" s="1272"/>
      <c r="I109" s="1272"/>
      <c r="J109" s="1272"/>
      <c r="K109" s="425"/>
      <c r="L109" s="418"/>
    </row>
    <row r="110" spans="1:12" ht="12" customHeight="1">
      <c r="A110" s="425" t="s">
        <v>501</v>
      </c>
      <c r="B110" s="425"/>
      <c r="C110" s="419" t="s">
        <v>509</v>
      </c>
      <c r="D110" s="1260">
        <f>'T2 MET'!C46</f>
        <v>0</v>
      </c>
      <c r="E110" s="1261"/>
      <c r="F110" s="1304"/>
      <c r="G110" s="1263"/>
      <c r="H110" s="1241">
        <f>D110</f>
        <v>0</v>
      </c>
      <c r="I110" s="1314">
        <f>D110-H110</f>
        <v>0</v>
      </c>
      <c r="J110" s="1265"/>
    </row>
    <row r="111" spans="1:12" ht="12" customHeight="1">
      <c r="A111" s="425">
        <v>2022</v>
      </c>
      <c r="B111" s="425"/>
      <c r="C111" s="419" t="s">
        <v>299</v>
      </c>
      <c r="D111" s="1260">
        <f>'T2 MET'!D46</f>
        <v>0</v>
      </c>
      <c r="E111" s="1261"/>
      <c r="F111" s="1304"/>
      <c r="G111" s="1263"/>
      <c r="H111" s="1263"/>
      <c r="I111" s="1305">
        <f>D111</f>
        <v>0</v>
      </c>
      <c r="J111" s="1265"/>
    </row>
    <row r="112" spans="1:12" ht="12" customHeight="1">
      <c r="A112" s="425">
        <v>2023</v>
      </c>
      <c r="B112" s="425"/>
      <c r="C112" s="419" t="s">
        <v>300</v>
      </c>
      <c r="D112" s="1260">
        <f>'T2 MET'!E46</f>
        <v>0</v>
      </c>
      <c r="E112" s="1261"/>
      <c r="F112" s="1304"/>
      <c r="G112" s="1263"/>
      <c r="H112" s="1263"/>
      <c r="I112" s="1274"/>
      <c r="J112" s="1326">
        <f>D112</f>
        <v>0</v>
      </c>
    </row>
    <row r="113" spans="1:12" ht="12" customHeight="1">
      <c r="A113" s="425">
        <v>2024</v>
      </c>
      <c r="B113" s="425"/>
      <c r="C113" s="421" t="s">
        <v>301</v>
      </c>
      <c r="D113" s="1322">
        <f>'T2 MET'!F46</f>
        <v>0</v>
      </c>
      <c r="E113" s="1307"/>
      <c r="F113" s="1308"/>
      <c r="G113" s="1308"/>
      <c r="H113" s="1308"/>
      <c r="I113" s="1309"/>
      <c r="J113" s="1327">
        <f>D113</f>
        <v>0</v>
      </c>
    </row>
    <row r="114" spans="1:12" ht="12" customHeight="1">
      <c r="A114" s="425" t="s">
        <v>237</v>
      </c>
      <c r="B114" s="425"/>
      <c r="C114" s="422" t="s">
        <v>302</v>
      </c>
      <c r="D114" s="1280">
        <f>D102+SUM(D108:D113)</f>
        <v>2670.3991291851198</v>
      </c>
      <c r="E114" s="1281">
        <f t="shared" ref="E114:J114" si="17">E102+SUM(E108:E113)</f>
        <v>754.01365782269329</v>
      </c>
      <c r="F114" s="1282">
        <f t="shared" si="17"/>
        <v>932.65837771324334</v>
      </c>
      <c r="G114" s="1282">
        <f t="shared" si="17"/>
        <v>458.0471040680323</v>
      </c>
      <c r="H114" s="1282">
        <f t="shared" si="17"/>
        <v>525.67998958115072</v>
      </c>
      <c r="I114" s="1283">
        <f t="shared" si="17"/>
        <v>0</v>
      </c>
      <c r="J114" s="1280">
        <f t="shared" si="17"/>
        <v>0</v>
      </c>
    </row>
    <row r="115" spans="1:12" ht="4.3499999999999996" customHeight="1">
      <c r="A115" s="540"/>
      <c r="B115" s="540"/>
    </row>
    <row r="116" spans="1:12" ht="12" customHeight="1">
      <c r="A116" s="425">
        <v>2017</v>
      </c>
      <c r="B116" s="425"/>
      <c r="C116" s="417" t="s">
        <v>303</v>
      </c>
      <c r="D116" s="1240">
        <v>0</v>
      </c>
      <c r="E116" s="1312">
        <v>0</v>
      </c>
      <c r="F116" s="1303">
        <v>0</v>
      </c>
      <c r="G116" s="1239">
        <v>0</v>
      </c>
      <c r="H116" s="1239">
        <v>0</v>
      </c>
      <c r="I116" s="1240">
        <v>0</v>
      </c>
      <c r="J116" s="1254">
        <f t="shared" ref="J116:J124" si="18">D116-SUM(E116:I116)</f>
        <v>0</v>
      </c>
    </row>
    <row r="117" spans="1:12" ht="12" customHeight="1">
      <c r="A117" s="425">
        <v>2018</v>
      </c>
      <c r="B117" s="425"/>
      <c r="C117" s="419" t="s">
        <v>304</v>
      </c>
      <c r="D117" s="1242">
        <v>0</v>
      </c>
      <c r="E117" s="1313">
        <v>0</v>
      </c>
      <c r="F117" s="1314">
        <v>0</v>
      </c>
      <c r="G117" s="1241">
        <v>0</v>
      </c>
      <c r="H117" s="1241">
        <v>0</v>
      </c>
      <c r="I117" s="1242">
        <v>0</v>
      </c>
      <c r="J117" s="1260">
        <f t="shared" si="18"/>
        <v>0</v>
      </c>
    </row>
    <row r="118" spans="1:12" ht="12" customHeight="1">
      <c r="A118" s="425">
        <v>2019</v>
      </c>
      <c r="B118" s="425"/>
      <c r="C118" s="419" t="s">
        <v>305</v>
      </c>
      <c r="D118" s="1244">
        <v>0</v>
      </c>
      <c r="E118" s="1313">
        <v>0</v>
      </c>
      <c r="F118" s="1362">
        <v>0</v>
      </c>
      <c r="G118" s="1243">
        <v>0</v>
      </c>
      <c r="H118" s="1243">
        <v>0</v>
      </c>
      <c r="I118" s="1244">
        <v>0</v>
      </c>
      <c r="J118" s="1322">
        <f t="shared" si="18"/>
        <v>0</v>
      </c>
    </row>
    <row r="119" spans="1:12" ht="12" customHeight="1">
      <c r="A119" s="425" t="s">
        <v>232</v>
      </c>
      <c r="B119" s="425"/>
      <c r="C119" s="556" t="s">
        <v>306</v>
      </c>
      <c r="D119" s="1266">
        <f>SUM(D116:D118)</f>
        <v>0</v>
      </c>
      <c r="E119" s="1325">
        <f t="shared" ref="E119:J119" si="19">SUM(E116:E118)</f>
        <v>0</v>
      </c>
      <c r="F119" s="1268">
        <f t="shared" si="19"/>
        <v>0</v>
      </c>
      <c r="G119" s="1268">
        <f t="shared" si="19"/>
        <v>0</v>
      </c>
      <c r="H119" s="1268">
        <f t="shared" si="19"/>
        <v>0</v>
      </c>
      <c r="I119" s="1320">
        <f t="shared" si="19"/>
        <v>0</v>
      </c>
      <c r="J119" s="1266">
        <f t="shared" si="19"/>
        <v>0</v>
      </c>
    </row>
    <row r="120" spans="1:12" ht="12" customHeight="1">
      <c r="A120" s="425" t="s">
        <v>500</v>
      </c>
      <c r="B120" s="425"/>
      <c r="C120" s="943"/>
      <c r="D120" s="1272"/>
      <c r="E120" s="1272"/>
      <c r="F120" s="1272"/>
      <c r="G120" s="1272"/>
      <c r="H120" s="1272"/>
      <c r="I120" s="1272"/>
      <c r="J120" s="1272"/>
      <c r="K120" s="425"/>
      <c r="L120" s="418"/>
    </row>
    <row r="121" spans="1:12" ht="12" customHeight="1">
      <c r="A121" s="425" t="s">
        <v>501</v>
      </c>
      <c r="B121" s="425"/>
      <c r="C121" s="419" t="s">
        <v>516</v>
      </c>
      <c r="D121" s="1260">
        <f>'T2 MET'!C69</f>
        <v>0</v>
      </c>
      <c r="E121" s="1313">
        <v>0</v>
      </c>
      <c r="F121" s="1314">
        <v>0</v>
      </c>
      <c r="G121" s="1241">
        <v>0</v>
      </c>
      <c r="H121" s="1241">
        <v>0</v>
      </c>
      <c r="I121" s="1242">
        <v>0</v>
      </c>
      <c r="J121" s="1260">
        <f t="shared" si="18"/>
        <v>0</v>
      </c>
    </row>
    <row r="122" spans="1:12" ht="12" customHeight="1">
      <c r="A122" s="425">
        <v>2022</v>
      </c>
      <c r="B122" s="425"/>
      <c r="C122" s="419" t="s">
        <v>307</v>
      </c>
      <c r="D122" s="1260">
        <f>'T2 MET'!D69</f>
        <v>0</v>
      </c>
      <c r="E122" s="1273"/>
      <c r="F122" s="1263"/>
      <c r="G122" s="1241">
        <v>0</v>
      </c>
      <c r="H122" s="1241">
        <v>0</v>
      </c>
      <c r="I122" s="1242">
        <v>0</v>
      </c>
      <c r="J122" s="1260">
        <f t="shared" si="18"/>
        <v>0</v>
      </c>
    </row>
    <row r="123" spans="1:12" ht="12" customHeight="1">
      <c r="A123" s="425">
        <v>2023</v>
      </c>
      <c r="B123" s="425"/>
      <c r="C123" s="419" t="s">
        <v>308</v>
      </c>
      <c r="D123" s="1260">
        <f>'T2 MET'!E69</f>
        <v>0</v>
      </c>
      <c r="E123" s="1273"/>
      <c r="F123" s="1263"/>
      <c r="G123" s="1299"/>
      <c r="H123" s="1241">
        <v>0</v>
      </c>
      <c r="I123" s="1242">
        <v>0</v>
      </c>
      <c r="J123" s="1260">
        <f t="shared" si="18"/>
        <v>0</v>
      </c>
    </row>
    <row r="124" spans="1:12" ht="12" customHeight="1">
      <c r="A124" s="425">
        <v>2024</v>
      </c>
      <c r="B124" s="425"/>
      <c r="C124" s="421" t="s">
        <v>309</v>
      </c>
      <c r="D124" s="1322">
        <f>'T2 MET'!F69</f>
        <v>0</v>
      </c>
      <c r="E124" s="1276"/>
      <c r="F124" s="1277"/>
      <c r="G124" s="1324"/>
      <c r="H124" s="1324"/>
      <c r="I124" s="1242">
        <v>0</v>
      </c>
      <c r="J124" s="1260">
        <f t="shared" si="18"/>
        <v>0</v>
      </c>
    </row>
    <row r="125" spans="1:12" ht="12" customHeight="1">
      <c r="A125" s="425" t="s">
        <v>237</v>
      </c>
      <c r="B125" s="425"/>
      <c r="C125" s="422" t="s">
        <v>310</v>
      </c>
      <c r="D125" s="1280">
        <f>SUM(D119:D124)</f>
        <v>0</v>
      </c>
      <c r="E125" s="1281">
        <f t="shared" ref="E125:J125" si="20">SUM(E119:E124)</f>
        <v>0</v>
      </c>
      <c r="F125" s="1282">
        <f t="shared" si="20"/>
        <v>0</v>
      </c>
      <c r="G125" s="1282">
        <f t="shared" si="20"/>
        <v>0</v>
      </c>
      <c r="H125" s="1282">
        <f t="shared" si="20"/>
        <v>0</v>
      </c>
      <c r="I125" s="1283">
        <f t="shared" si="20"/>
        <v>0</v>
      </c>
      <c r="J125" s="1280">
        <f t="shared" si="20"/>
        <v>0</v>
      </c>
    </row>
    <row r="126" spans="1:12" ht="4.3499999999999996" customHeight="1">
      <c r="A126" s="540"/>
      <c r="B126" s="540"/>
    </row>
    <row r="127" spans="1:12" ht="12" customHeight="1">
      <c r="A127" s="425">
        <v>2017</v>
      </c>
      <c r="B127" s="425"/>
      <c r="C127" s="417" t="s">
        <v>311</v>
      </c>
      <c r="D127" s="1240">
        <v>0</v>
      </c>
      <c r="E127" s="1312">
        <v>0</v>
      </c>
      <c r="F127" s="1303">
        <v>0</v>
      </c>
      <c r="G127" s="1239">
        <v>0</v>
      </c>
      <c r="H127" s="1239">
        <v>0</v>
      </c>
      <c r="I127" s="1240">
        <v>0</v>
      </c>
      <c r="J127" s="1254">
        <f t="shared" ref="J127:J129" si="21">D127-SUM(E127:I127)</f>
        <v>0</v>
      </c>
    </row>
    <row r="128" spans="1:12" ht="12" customHeight="1">
      <c r="A128" s="425">
        <v>2018</v>
      </c>
      <c r="B128" s="425"/>
      <c r="C128" s="419" t="s">
        <v>312</v>
      </c>
      <c r="D128" s="1242">
        <v>0</v>
      </c>
      <c r="E128" s="1313">
        <v>0</v>
      </c>
      <c r="F128" s="1314">
        <v>0</v>
      </c>
      <c r="G128" s="1241">
        <v>0</v>
      </c>
      <c r="H128" s="1241">
        <v>0</v>
      </c>
      <c r="I128" s="1242">
        <v>0</v>
      </c>
      <c r="J128" s="1260">
        <f t="shared" si="21"/>
        <v>0</v>
      </c>
    </row>
    <row r="129" spans="1:12" ht="12" customHeight="1">
      <c r="A129" s="425">
        <v>2019</v>
      </c>
      <c r="B129" s="425"/>
      <c r="C129" s="419" t="s">
        <v>313</v>
      </c>
      <c r="D129" s="1244">
        <v>0</v>
      </c>
      <c r="E129" s="1313">
        <v>0</v>
      </c>
      <c r="F129" s="1362">
        <v>0</v>
      </c>
      <c r="G129" s="1243">
        <v>0</v>
      </c>
      <c r="H129" s="1243">
        <v>0</v>
      </c>
      <c r="I129" s="1244">
        <v>0</v>
      </c>
      <c r="J129" s="1322">
        <f t="shared" si="21"/>
        <v>0</v>
      </c>
    </row>
    <row r="130" spans="1:12" ht="12" customHeight="1">
      <c r="A130" s="425" t="s">
        <v>232</v>
      </c>
      <c r="B130" s="425"/>
      <c r="C130" s="556" t="s">
        <v>314</v>
      </c>
      <c r="D130" s="1266">
        <f>SUM(D127:D129)</f>
        <v>0</v>
      </c>
      <c r="E130" s="1325">
        <f t="shared" ref="E130:J130" si="22">SUM(E127:E129)</f>
        <v>0</v>
      </c>
      <c r="F130" s="1268">
        <f t="shared" si="22"/>
        <v>0</v>
      </c>
      <c r="G130" s="1268">
        <f t="shared" si="22"/>
        <v>0</v>
      </c>
      <c r="H130" s="1268">
        <f t="shared" si="22"/>
        <v>0</v>
      </c>
      <c r="I130" s="1320">
        <f t="shared" si="22"/>
        <v>0</v>
      </c>
      <c r="J130" s="1266">
        <f t="shared" si="22"/>
        <v>0</v>
      </c>
    </row>
    <row r="131" spans="1:12" ht="12" customHeight="1">
      <c r="A131" s="425" t="s">
        <v>500</v>
      </c>
      <c r="B131" s="425"/>
      <c r="C131" s="943"/>
      <c r="D131" s="1272"/>
      <c r="E131" s="1272"/>
      <c r="F131" s="1272"/>
      <c r="G131" s="1272"/>
      <c r="H131" s="1272"/>
      <c r="I131" s="1272"/>
      <c r="J131" s="1272"/>
      <c r="K131" s="425"/>
      <c r="L131" s="418"/>
    </row>
    <row r="132" spans="1:12" ht="12" customHeight="1">
      <c r="A132" s="425" t="s">
        <v>501</v>
      </c>
      <c r="B132" s="425"/>
      <c r="C132" s="419" t="s">
        <v>515</v>
      </c>
      <c r="D132" s="1260">
        <f>'T2 MET'!C70</f>
        <v>0</v>
      </c>
      <c r="E132" s="1312">
        <v>0</v>
      </c>
      <c r="F132" s="1314">
        <v>0</v>
      </c>
      <c r="G132" s="1241">
        <v>0</v>
      </c>
      <c r="H132" s="1241">
        <v>0</v>
      </c>
      <c r="I132" s="1242">
        <v>0</v>
      </c>
      <c r="J132" s="1260">
        <f t="shared" ref="J132:J135" si="23">D132-SUM(E132:I132)</f>
        <v>0</v>
      </c>
    </row>
    <row r="133" spans="1:12" ht="12" customHeight="1">
      <c r="A133" s="425">
        <v>2022</v>
      </c>
      <c r="B133" s="425"/>
      <c r="C133" s="419" t="s">
        <v>315</v>
      </c>
      <c r="D133" s="1260">
        <f>'T2 MET'!D70</f>
        <v>0</v>
      </c>
      <c r="E133" s="1273"/>
      <c r="F133" s="1263"/>
      <c r="G133" s="1241">
        <v>0</v>
      </c>
      <c r="H133" s="1241">
        <v>0</v>
      </c>
      <c r="I133" s="1242">
        <v>0</v>
      </c>
      <c r="J133" s="1260">
        <f t="shared" si="23"/>
        <v>0</v>
      </c>
    </row>
    <row r="134" spans="1:12" ht="12" customHeight="1">
      <c r="A134" s="425">
        <v>2023</v>
      </c>
      <c r="B134" s="425"/>
      <c r="C134" s="419" t="s">
        <v>316</v>
      </c>
      <c r="D134" s="1260">
        <f>'T2 MET'!E70</f>
        <v>0</v>
      </c>
      <c r="E134" s="1273"/>
      <c r="F134" s="1263"/>
      <c r="G134" s="1371"/>
      <c r="H134" s="1241">
        <v>0</v>
      </c>
      <c r="I134" s="1242">
        <v>0</v>
      </c>
      <c r="J134" s="1260">
        <f t="shared" si="23"/>
        <v>0</v>
      </c>
    </row>
    <row r="135" spans="1:12" ht="12" customHeight="1">
      <c r="A135" s="425">
        <v>2024</v>
      </c>
      <c r="B135" s="425"/>
      <c r="C135" s="421" t="s">
        <v>317</v>
      </c>
      <c r="D135" s="1322">
        <f>'T2 MET'!F70</f>
        <v>0</v>
      </c>
      <c r="E135" s="1276"/>
      <c r="F135" s="1277"/>
      <c r="G135" s="1372"/>
      <c r="H135" s="1372"/>
      <c r="I135" s="1242">
        <v>0</v>
      </c>
      <c r="J135" s="1260">
        <f t="shared" si="23"/>
        <v>0</v>
      </c>
    </row>
    <row r="136" spans="1:12" ht="12" customHeight="1">
      <c r="A136" s="425" t="s">
        <v>237</v>
      </c>
      <c r="B136" s="425"/>
      <c r="C136" s="422" t="s">
        <v>318</v>
      </c>
      <c r="D136" s="1280">
        <f>SUM(D130:D135)</f>
        <v>0</v>
      </c>
      <c r="E136" s="1281">
        <f t="shared" ref="E136:J136" si="24">SUM(E130:E135)</f>
        <v>0</v>
      </c>
      <c r="F136" s="1282">
        <f t="shared" si="24"/>
        <v>0</v>
      </c>
      <c r="G136" s="1282">
        <f t="shared" si="24"/>
        <v>0</v>
      </c>
      <c r="H136" s="1282">
        <f t="shared" si="24"/>
        <v>0</v>
      </c>
      <c r="I136" s="1283">
        <f t="shared" si="24"/>
        <v>0</v>
      </c>
      <c r="J136" s="1280">
        <f t="shared" si="24"/>
        <v>0</v>
      </c>
    </row>
    <row r="137" spans="1:12" ht="4.3499999999999996" customHeight="1">
      <c r="A137" s="540"/>
      <c r="B137" s="540"/>
    </row>
    <row r="138" spans="1:12" ht="12" customHeight="1">
      <c r="A138" s="425">
        <v>2017</v>
      </c>
      <c r="B138" s="425"/>
      <c r="C138" s="417" t="s">
        <v>319</v>
      </c>
      <c r="D138" s="1240">
        <v>0</v>
      </c>
      <c r="E138" s="1312">
        <v>0</v>
      </c>
      <c r="F138" s="1303">
        <v>0</v>
      </c>
      <c r="G138" s="1239">
        <v>0</v>
      </c>
      <c r="H138" s="1239">
        <v>0</v>
      </c>
      <c r="I138" s="1240">
        <v>0</v>
      </c>
      <c r="J138" s="1254">
        <f t="shared" ref="J138:J139" si="25">D138-SUM(E138:I138)</f>
        <v>0</v>
      </c>
    </row>
    <row r="139" spans="1:12" ht="12" customHeight="1">
      <c r="A139" s="425">
        <v>2018</v>
      </c>
      <c r="B139" s="425"/>
      <c r="C139" s="419" t="s">
        <v>320</v>
      </c>
      <c r="D139" s="1242">
        <v>0</v>
      </c>
      <c r="E139" s="1313">
        <v>0</v>
      </c>
      <c r="F139" s="1314">
        <v>0</v>
      </c>
      <c r="G139" s="1241">
        <v>0</v>
      </c>
      <c r="H139" s="1241">
        <v>0</v>
      </c>
      <c r="I139" s="1242">
        <v>0</v>
      </c>
      <c r="J139" s="1260">
        <f t="shared" si="25"/>
        <v>0</v>
      </c>
    </row>
    <row r="140" spans="1:12" ht="12" customHeight="1">
      <c r="A140" s="425">
        <v>2019</v>
      </c>
      <c r="B140" s="425"/>
      <c r="C140" s="419" t="s">
        <v>321</v>
      </c>
      <c r="D140" s="1244">
        <v>0</v>
      </c>
      <c r="E140" s="1313">
        <v>0</v>
      </c>
      <c r="F140" s="1362">
        <v>0</v>
      </c>
      <c r="G140" s="1243">
        <v>0</v>
      </c>
      <c r="H140" s="1243">
        <v>0</v>
      </c>
      <c r="I140" s="1244">
        <v>0</v>
      </c>
      <c r="J140" s="1322">
        <f>D140-SUM(E140:I140)</f>
        <v>0</v>
      </c>
    </row>
    <row r="141" spans="1:12" ht="12" customHeight="1">
      <c r="A141" s="425" t="s">
        <v>232</v>
      </c>
      <c r="B141" s="425"/>
      <c r="C141" s="556" t="s">
        <v>322</v>
      </c>
      <c r="D141" s="1266">
        <f>SUM(D138:D140)</f>
        <v>0</v>
      </c>
      <c r="E141" s="1325">
        <f t="shared" ref="E141:I141" si="26">SUM(E138:E140)</f>
        <v>0</v>
      </c>
      <c r="F141" s="1268">
        <f t="shared" si="26"/>
        <v>0</v>
      </c>
      <c r="G141" s="1268">
        <f t="shared" si="26"/>
        <v>0</v>
      </c>
      <c r="H141" s="1268">
        <f t="shared" si="26"/>
        <v>0</v>
      </c>
      <c r="I141" s="1320">
        <f t="shared" si="26"/>
        <v>0</v>
      </c>
      <c r="J141" s="1266">
        <f>SUM(J138:J140)</f>
        <v>0</v>
      </c>
    </row>
    <row r="142" spans="1:12" ht="12" customHeight="1">
      <c r="A142" s="425" t="s">
        <v>500</v>
      </c>
      <c r="B142" s="425"/>
      <c r="C142" s="943"/>
      <c r="D142" s="1272"/>
      <c r="E142" s="1272"/>
      <c r="F142" s="1272"/>
      <c r="G142" s="1272"/>
      <c r="H142" s="1272"/>
      <c r="I142" s="1272"/>
      <c r="J142" s="1272"/>
      <c r="K142" s="425"/>
      <c r="L142" s="418"/>
    </row>
    <row r="143" spans="1:12" ht="12" customHeight="1">
      <c r="A143" s="425" t="s">
        <v>501</v>
      </c>
      <c r="B143" s="425"/>
      <c r="C143" s="419" t="s">
        <v>514</v>
      </c>
      <c r="D143" s="1260">
        <f>'T2 MET'!C71</f>
        <v>0</v>
      </c>
      <c r="E143" s="1312">
        <v>0</v>
      </c>
      <c r="F143" s="1314">
        <v>0</v>
      </c>
      <c r="G143" s="1241">
        <v>0</v>
      </c>
      <c r="H143" s="1241">
        <v>0</v>
      </c>
      <c r="I143" s="1373"/>
      <c r="J143" s="1265"/>
    </row>
    <row r="144" spans="1:12" ht="12" customHeight="1">
      <c r="A144" s="425">
        <v>2022</v>
      </c>
      <c r="B144" s="425"/>
      <c r="C144" s="419" t="s">
        <v>323</v>
      </c>
      <c r="D144" s="1260">
        <f>'T2 MET'!D71</f>
        <v>0</v>
      </c>
      <c r="E144" s="1273"/>
      <c r="F144" s="1263"/>
      <c r="G144" s="1241">
        <v>0</v>
      </c>
      <c r="H144" s="1241">
        <v>0</v>
      </c>
      <c r="I144" s="1242">
        <v>0</v>
      </c>
      <c r="J144" s="1265"/>
    </row>
    <row r="145" spans="1:12" ht="12" customHeight="1">
      <c r="A145" s="425">
        <v>2023</v>
      </c>
      <c r="B145" s="425"/>
      <c r="C145" s="419" t="s">
        <v>324</v>
      </c>
      <c r="D145" s="1260">
        <f>'T2 MET'!E71</f>
        <v>0</v>
      </c>
      <c r="E145" s="1273"/>
      <c r="F145" s="1263"/>
      <c r="G145" s="1371"/>
      <c r="H145" s="1241">
        <v>0</v>
      </c>
      <c r="I145" s="1242">
        <v>0</v>
      </c>
      <c r="J145" s="1260">
        <f t="shared" ref="J145:J146" si="27">D145-SUM(E145:I145)</f>
        <v>0</v>
      </c>
    </row>
    <row r="146" spans="1:12" ht="12" customHeight="1">
      <c r="A146" s="425">
        <v>2024</v>
      </c>
      <c r="B146" s="425"/>
      <c r="C146" s="421" t="s">
        <v>325</v>
      </c>
      <c r="D146" s="1322">
        <f>'T2 MET'!F71</f>
        <v>0</v>
      </c>
      <c r="E146" s="1276"/>
      <c r="F146" s="1277"/>
      <c r="G146" s="1372"/>
      <c r="H146" s="1372"/>
      <c r="I146" s="1242">
        <v>0</v>
      </c>
      <c r="J146" s="1260">
        <f t="shared" si="27"/>
        <v>0</v>
      </c>
    </row>
    <row r="147" spans="1:12" ht="12" customHeight="1">
      <c r="A147" s="425" t="s">
        <v>237</v>
      </c>
      <c r="B147" s="425"/>
      <c r="C147" s="422" t="s">
        <v>326</v>
      </c>
      <c r="D147" s="1280">
        <f>SUM(D141:D146)</f>
        <v>0</v>
      </c>
      <c r="E147" s="1281">
        <f t="shared" ref="E147:I147" si="28">SUM(E141:E146)</f>
        <v>0</v>
      </c>
      <c r="F147" s="1282">
        <f t="shared" si="28"/>
        <v>0</v>
      </c>
      <c r="G147" s="1282">
        <f t="shared" si="28"/>
        <v>0</v>
      </c>
      <c r="H147" s="1282">
        <f t="shared" si="28"/>
        <v>0</v>
      </c>
      <c r="I147" s="1283">
        <f t="shared" si="28"/>
        <v>0</v>
      </c>
      <c r="J147" s="1280">
        <f>SUM(J141:J146)</f>
        <v>0</v>
      </c>
    </row>
    <row r="148" spans="1:12" ht="4.3499999999999996" customHeight="1">
      <c r="A148" s="540"/>
      <c r="B148" s="540"/>
    </row>
    <row r="149" spans="1:12" ht="12" customHeight="1">
      <c r="A149" s="425">
        <v>2017</v>
      </c>
      <c r="B149" s="425"/>
      <c r="C149" s="417" t="s">
        <v>327</v>
      </c>
      <c r="D149" s="1240">
        <v>0</v>
      </c>
      <c r="E149" s="1255">
        <v>0</v>
      </c>
      <c r="F149" s="1332">
        <v>0</v>
      </c>
      <c r="G149" s="1239">
        <v>0</v>
      </c>
      <c r="H149" s="1239">
        <v>0</v>
      </c>
      <c r="I149" s="1240">
        <v>0</v>
      </c>
      <c r="J149" s="1333">
        <f>D149-SUM(E149:I149)</f>
        <v>0</v>
      </c>
    </row>
    <row r="150" spans="1:12" ht="12" customHeight="1">
      <c r="A150" s="425">
        <v>2018</v>
      </c>
      <c r="B150" s="425"/>
      <c r="C150" s="419" t="s">
        <v>328</v>
      </c>
      <c r="D150" s="1242">
        <v>0</v>
      </c>
      <c r="E150" s="1334">
        <v>0</v>
      </c>
      <c r="F150" s="1262">
        <v>0</v>
      </c>
      <c r="G150" s="1241">
        <v>0</v>
      </c>
      <c r="H150" s="1241">
        <v>0</v>
      </c>
      <c r="I150" s="1242">
        <v>0</v>
      </c>
      <c r="J150" s="1335">
        <f>D150-SUM(E150:I150)</f>
        <v>0</v>
      </c>
    </row>
    <row r="151" spans="1:12" ht="12" customHeight="1">
      <c r="A151" s="425">
        <v>2019</v>
      </c>
      <c r="B151" s="425"/>
      <c r="C151" s="419" t="s">
        <v>329</v>
      </c>
      <c r="D151" s="1244">
        <v>0</v>
      </c>
      <c r="E151" s="1334">
        <v>0</v>
      </c>
      <c r="F151" s="1262">
        <v>0</v>
      </c>
      <c r="G151" s="1243">
        <v>0</v>
      </c>
      <c r="H151" s="1243">
        <v>0</v>
      </c>
      <c r="I151" s="1244">
        <v>0</v>
      </c>
      <c r="J151" s="1335">
        <f>D151-SUM(E151:I151)</f>
        <v>0</v>
      </c>
    </row>
    <row r="152" spans="1:12" ht="12" customHeight="1">
      <c r="A152" s="425" t="s">
        <v>232</v>
      </c>
      <c r="B152" s="425"/>
      <c r="C152" s="556" t="s">
        <v>330</v>
      </c>
      <c r="D152" s="1336">
        <f t="shared" ref="D152:I152" si="29">SUM(D149:D151)</f>
        <v>0</v>
      </c>
      <c r="E152" s="1337">
        <f>SUM(E149:E151)</f>
        <v>0</v>
      </c>
      <c r="F152" s="1338">
        <f t="shared" si="29"/>
        <v>0</v>
      </c>
      <c r="G152" s="1338">
        <f t="shared" si="29"/>
        <v>0</v>
      </c>
      <c r="H152" s="1338">
        <f>SUM(H149:H151)</f>
        <v>0</v>
      </c>
      <c r="I152" s="1339">
        <f t="shared" si="29"/>
        <v>0</v>
      </c>
      <c r="J152" s="1336">
        <f>SUM(J149:J151)</f>
        <v>0</v>
      </c>
    </row>
    <row r="153" spans="1:12" ht="12" customHeight="1">
      <c r="A153" s="425" t="s">
        <v>500</v>
      </c>
      <c r="B153" s="425"/>
      <c r="C153" s="943"/>
      <c r="D153" s="1272"/>
      <c r="E153" s="1272"/>
      <c r="F153" s="1272"/>
      <c r="G153" s="1272"/>
      <c r="H153" s="1272"/>
      <c r="I153" s="1272"/>
      <c r="J153" s="1272"/>
      <c r="K153" s="425"/>
      <c r="L153" s="418"/>
    </row>
    <row r="154" spans="1:12" ht="12" customHeight="1">
      <c r="A154" s="425" t="s">
        <v>501</v>
      </c>
      <c r="B154" s="425"/>
      <c r="C154" s="419" t="s">
        <v>513</v>
      </c>
      <c r="D154" s="1340">
        <f>'T2 MET'!C72</f>
        <v>0</v>
      </c>
      <c r="E154" s="1334">
        <v>0</v>
      </c>
      <c r="F154" s="1262">
        <v>0</v>
      </c>
      <c r="G154" s="1341">
        <v>0</v>
      </c>
      <c r="H154" s="1341">
        <v>0</v>
      </c>
      <c r="I154" s="1274"/>
      <c r="J154" s="1265"/>
    </row>
    <row r="155" spans="1:12" ht="12" customHeight="1">
      <c r="A155" s="425">
        <v>2022</v>
      </c>
      <c r="B155" s="425"/>
      <c r="C155" s="419" t="s">
        <v>331</v>
      </c>
      <c r="D155" s="1340">
        <f>'T2 MET'!D72</f>
        <v>0</v>
      </c>
      <c r="E155" s="1273"/>
      <c r="F155" s="1263"/>
      <c r="G155" s="1341">
        <v>0</v>
      </c>
      <c r="H155" s="1341">
        <v>0</v>
      </c>
      <c r="I155" s="1341">
        <v>0</v>
      </c>
      <c r="J155" s="1265"/>
    </row>
    <row r="156" spans="1:12" ht="12" customHeight="1">
      <c r="A156" s="425">
        <v>2023</v>
      </c>
      <c r="B156" s="425"/>
      <c r="C156" s="419" t="s">
        <v>332</v>
      </c>
      <c r="D156" s="1340">
        <f>'T2 MET'!E72</f>
        <v>0</v>
      </c>
      <c r="E156" s="1273"/>
      <c r="F156" s="1263"/>
      <c r="G156" s="1263"/>
      <c r="H156" s="1341">
        <v>0</v>
      </c>
      <c r="I156" s="1341">
        <v>0</v>
      </c>
      <c r="J156" s="1335">
        <f>D156-SUM(E156:I156)</f>
        <v>0</v>
      </c>
    </row>
    <row r="157" spans="1:12" ht="12" customHeight="1">
      <c r="A157" s="425">
        <v>2024</v>
      </c>
      <c r="B157" s="425"/>
      <c r="C157" s="421" t="s">
        <v>333</v>
      </c>
      <c r="D157" s="1342">
        <f>'T2 MET'!F72</f>
        <v>0</v>
      </c>
      <c r="E157" s="1276"/>
      <c r="F157" s="1277"/>
      <c r="G157" s="1277"/>
      <c r="H157" s="1277"/>
      <c r="I157" s="1343">
        <v>0</v>
      </c>
      <c r="J157" s="1344">
        <f>D157-SUM(E157:I157)</f>
        <v>0</v>
      </c>
    </row>
    <row r="158" spans="1:12" ht="12" customHeight="1">
      <c r="A158" s="425" t="s">
        <v>237</v>
      </c>
      <c r="B158" s="425"/>
      <c r="C158" s="422" t="s">
        <v>334</v>
      </c>
      <c r="D158" s="1345">
        <f t="shared" ref="D158:J158" si="30">SUM(D152:D157)</f>
        <v>0</v>
      </c>
      <c r="E158" s="1346">
        <f t="shared" si="30"/>
        <v>0</v>
      </c>
      <c r="F158" s="1347">
        <f t="shared" si="30"/>
        <v>0</v>
      </c>
      <c r="G158" s="1347">
        <f t="shared" si="30"/>
        <v>0</v>
      </c>
      <c r="H158" s="1347">
        <f t="shared" si="30"/>
        <v>0</v>
      </c>
      <c r="I158" s="1348">
        <f t="shared" si="30"/>
        <v>0</v>
      </c>
      <c r="J158" s="1345">
        <f t="shared" si="30"/>
        <v>0</v>
      </c>
    </row>
    <row r="159" spans="1:12" ht="4.3499999999999996" customHeight="1">
      <c r="A159" s="540"/>
      <c r="B159" s="540"/>
    </row>
    <row r="160" spans="1:12" ht="12" customHeight="1">
      <c r="A160" s="425" t="s">
        <v>500</v>
      </c>
      <c r="B160" s="425"/>
      <c r="C160" s="944"/>
      <c r="D160" s="1297"/>
      <c r="E160" s="1297"/>
      <c r="F160" s="1297"/>
      <c r="G160" s="1297"/>
      <c r="H160" s="1297"/>
      <c r="I160" s="1297"/>
      <c r="J160" s="1297"/>
      <c r="K160" s="425"/>
      <c r="L160" s="418"/>
    </row>
    <row r="161" spans="1:12" ht="12" customHeight="1">
      <c r="A161" s="425" t="s">
        <v>501</v>
      </c>
      <c r="B161" s="425"/>
      <c r="C161" s="419" t="s">
        <v>512</v>
      </c>
      <c r="D161" s="1441">
        <f>'T2 MET'!C63</f>
        <v>10374.486178880736</v>
      </c>
      <c r="E161" s="1273"/>
      <c r="F161" s="1263"/>
      <c r="G161" s="1299"/>
      <c r="H161" s="1439">
        <v>0</v>
      </c>
      <c r="I161" s="1440">
        <f>H161</f>
        <v>0</v>
      </c>
      <c r="J161" s="1436">
        <v>0</v>
      </c>
    </row>
    <row r="162" spans="1:12" ht="12" customHeight="1">
      <c r="A162" s="425">
        <v>2022</v>
      </c>
      <c r="B162" s="425"/>
      <c r="C162" s="419" t="s">
        <v>335</v>
      </c>
      <c r="D162" s="1260">
        <f>'T2 MET'!D63</f>
        <v>0</v>
      </c>
      <c r="E162" s="1261"/>
      <c r="F162" s="1304"/>
      <c r="G162" s="1349"/>
      <c r="H162" s="1241">
        <v>0</v>
      </c>
      <c r="I162" s="1242">
        <v>0</v>
      </c>
      <c r="J162" s="1260">
        <f t="shared" ref="J162:J164" si="31">D162-SUM(E162:I162)</f>
        <v>0</v>
      </c>
    </row>
    <row r="163" spans="1:12" ht="12" customHeight="1">
      <c r="A163" s="425">
        <v>2023</v>
      </c>
      <c r="B163" s="425"/>
      <c r="C163" s="419" t="s">
        <v>336</v>
      </c>
      <c r="D163" s="1260">
        <f>'T2 MET'!E63</f>
        <v>0</v>
      </c>
      <c r="E163" s="1261"/>
      <c r="F163" s="1304"/>
      <c r="G163" s="1349"/>
      <c r="H163" s="1349"/>
      <c r="I163" s="1242">
        <v>0</v>
      </c>
      <c r="J163" s="1260">
        <f t="shared" si="31"/>
        <v>0</v>
      </c>
    </row>
    <row r="164" spans="1:12" ht="12" customHeight="1">
      <c r="A164" s="425">
        <v>2024</v>
      </c>
      <c r="B164" s="425"/>
      <c r="C164" s="421" t="s">
        <v>337</v>
      </c>
      <c r="D164" s="1322">
        <f>'T2 MET'!F63</f>
        <v>0</v>
      </c>
      <c r="E164" s="1307"/>
      <c r="F164" s="1308"/>
      <c r="G164" s="1350"/>
      <c r="H164" s="1350"/>
      <c r="I164" s="1350"/>
      <c r="J164" s="1260">
        <f t="shared" si="31"/>
        <v>0</v>
      </c>
    </row>
    <row r="165" spans="1:12" ht="12" customHeight="1">
      <c r="A165" s="425" t="s">
        <v>237</v>
      </c>
      <c r="B165" s="425"/>
      <c r="C165" s="559" t="s">
        <v>338</v>
      </c>
      <c r="D165" s="1280">
        <f>SUM(D160:D164)</f>
        <v>10374.486178880736</v>
      </c>
      <c r="E165" s="1281">
        <f t="shared" ref="E165:J165" si="32">SUM(E160:E164)</f>
        <v>0</v>
      </c>
      <c r="F165" s="1282">
        <f t="shared" si="32"/>
        <v>0</v>
      </c>
      <c r="G165" s="1282">
        <f t="shared" si="32"/>
        <v>0</v>
      </c>
      <c r="H165" s="1282">
        <f t="shared" si="32"/>
        <v>0</v>
      </c>
      <c r="I165" s="1283">
        <f t="shared" si="32"/>
        <v>0</v>
      </c>
      <c r="J165" s="1280">
        <f t="shared" si="32"/>
        <v>0</v>
      </c>
    </row>
    <row r="166" spans="1:12" ht="4.3499999999999996" customHeight="1">
      <c r="B166" s="425"/>
    </row>
    <row r="167" spans="1:12" ht="12" customHeight="1">
      <c r="A167" s="425" t="s">
        <v>500</v>
      </c>
      <c r="B167" s="425"/>
      <c r="C167" s="944"/>
      <c r="D167" s="1297"/>
      <c r="E167" s="1297"/>
      <c r="F167" s="1297"/>
      <c r="G167" s="1297"/>
      <c r="H167" s="1297"/>
      <c r="I167" s="1297"/>
      <c r="J167" s="1297"/>
      <c r="K167" s="425"/>
      <c r="L167" s="418"/>
    </row>
    <row r="168" spans="1:12" s="557" customFormat="1" ht="12" customHeight="1">
      <c r="A168" s="425" t="s">
        <v>501</v>
      </c>
      <c r="B168" s="425"/>
      <c r="C168" s="419" t="s">
        <v>511</v>
      </c>
      <c r="D168" s="1374"/>
      <c r="E168" s="1273"/>
      <c r="F168" s="1263"/>
      <c r="G168" s="1263"/>
      <c r="H168" s="1263"/>
      <c r="I168" s="1274"/>
      <c r="J168" s="1265"/>
      <c r="L168" s="558"/>
    </row>
    <row r="169" spans="1:12" s="557" customFormat="1" ht="12" customHeight="1">
      <c r="A169" s="425">
        <v>2022</v>
      </c>
      <c r="B169" s="425"/>
      <c r="C169" s="419" t="s">
        <v>347</v>
      </c>
      <c r="D169" s="1374"/>
      <c r="E169" s="1273"/>
      <c r="F169" s="1263"/>
      <c r="G169" s="1263"/>
      <c r="H169" s="1263"/>
      <c r="I169" s="1263"/>
      <c r="J169" s="1265"/>
      <c r="L169" s="558"/>
    </row>
    <row r="170" spans="1:12" s="557" customFormat="1" ht="12" customHeight="1">
      <c r="A170" s="425">
        <v>2023</v>
      </c>
      <c r="B170" s="425"/>
      <c r="C170" s="419" t="s">
        <v>348</v>
      </c>
      <c r="D170" s="1374"/>
      <c r="E170" s="1273"/>
      <c r="F170" s="1263"/>
      <c r="G170" s="1263"/>
      <c r="H170" s="1263"/>
      <c r="I170" s="1263"/>
      <c r="J170" s="1265"/>
      <c r="L170" s="558"/>
    </row>
    <row r="171" spans="1:12" s="557" customFormat="1" ht="12" customHeight="1">
      <c r="A171" s="425">
        <v>2024</v>
      </c>
      <c r="B171" s="425"/>
      <c r="C171" s="421" t="s">
        <v>349</v>
      </c>
      <c r="D171" s="1375"/>
      <c r="E171" s="1276"/>
      <c r="F171" s="1277"/>
      <c r="G171" s="1277"/>
      <c r="H171" s="1277"/>
      <c r="I171" s="1277"/>
      <c r="J171" s="1279"/>
      <c r="L171" s="558"/>
    </row>
    <row r="172" spans="1:12" s="557" customFormat="1" ht="12" customHeight="1">
      <c r="A172" s="425" t="s">
        <v>237</v>
      </c>
      <c r="B172" s="425"/>
      <c r="C172" s="559" t="s">
        <v>350</v>
      </c>
      <c r="D172" s="1294"/>
      <c r="E172" s="1291"/>
      <c r="F172" s="1292"/>
      <c r="G172" s="1292"/>
      <c r="H172" s="1292"/>
      <c r="I172" s="1293"/>
      <c r="J172" s="1294"/>
      <c r="L172" s="558"/>
    </row>
    <row r="173" spans="1:12" ht="4.3499999999999996" customHeight="1">
      <c r="B173" s="425"/>
      <c r="C173" s="426"/>
      <c r="D173" s="1354"/>
      <c r="E173" s="1354"/>
      <c r="F173" s="1355"/>
      <c r="G173" s="1354"/>
      <c r="H173" s="1354"/>
      <c r="I173" s="1354"/>
      <c r="J173" s="1354"/>
    </row>
    <row r="174" spans="1:12" ht="4.3499999999999996" customHeight="1">
      <c r="B174" s="425"/>
    </row>
    <row r="175" spans="1:12" ht="12" customHeight="1">
      <c r="B175" s="425"/>
      <c r="C175" s="422" t="s">
        <v>339</v>
      </c>
      <c r="D175" s="1280">
        <f>D17+D28+D35+D42+D49+D56+D63+D70+D75+D86+D97+D114+D125+D136+D147+D158+D165+D172</f>
        <v>13367.801386058483</v>
      </c>
      <c r="E175" s="1281">
        <f t="shared" ref="E175:J175" si="33">E17+E28+E35+E42+E49+E56+E63+E70+E75+E86+E97+E114+E125+E136+E147+E158+E165+E172</f>
        <v>921.56874623069689</v>
      </c>
      <c r="F175" s="1282">
        <f t="shared" si="33"/>
        <v>1088.019367297868</v>
      </c>
      <c r="G175" s="1282">
        <f t="shared" si="33"/>
        <v>458.0471040680323</v>
      </c>
      <c r="H175" s="1282">
        <f t="shared" si="33"/>
        <v>525.67998958115072</v>
      </c>
      <c r="I175" s="1283">
        <f t="shared" si="33"/>
        <v>0</v>
      </c>
      <c r="J175" s="1280">
        <f t="shared" si="33"/>
        <v>0</v>
      </c>
      <c r="L175" s="418"/>
    </row>
    <row r="176" spans="1:12" ht="12" customHeight="1">
      <c r="B176" s="425"/>
      <c r="D176" s="1376"/>
      <c r="E176" s="1376"/>
      <c r="F176" s="1377"/>
      <c r="G176" s="1376"/>
      <c r="H176" s="1376"/>
      <c r="I176" s="1376"/>
      <c r="J176" s="1376"/>
    </row>
    <row r="177" spans="2:10" ht="12" customHeight="1">
      <c r="B177" s="425"/>
      <c r="C177" s="74" t="s">
        <v>340</v>
      </c>
      <c r="F177" s="1449" t="s">
        <v>726</v>
      </c>
      <c r="G177" s="1450"/>
      <c r="H177" s="1450"/>
      <c r="I177" s="1450"/>
      <c r="J177" s="1451"/>
    </row>
    <row r="178" spans="2:10" ht="12" customHeight="1">
      <c r="B178" s="425"/>
      <c r="C178" s="74" t="s">
        <v>341</v>
      </c>
      <c r="D178" s="1358"/>
      <c r="E178" s="1359"/>
      <c r="F178" s="1452" t="s">
        <v>727</v>
      </c>
      <c r="G178" s="1453"/>
      <c r="H178" s="1453"/>
      <c r="I178" s="1453"/>
      <c r="J178" s="1454"/>
    </row>
    <row r="179" spans="2:10" ht="12" customHeight="1">
      <c r="B179" s="425"/>
      <c r="C179" s="926" t="s">
        <v>547</v>
      </c>
    </row>
    <row r="183" spans="2:10">
      <c r="C183" s="1455" t="s">
        <v>728</v>
      </c>
      <c r="D183" s="1456">
        <f>D11+D22+D75+D80+D91+D102+D108+D119+D130+D141+D152</f>
        <v>2993.3152071777477</v>
      </c>
      <c r="E183" s="1456">
        <f t="shared" ref="E183:J183" si="34">E11+E22+E75+E80+E91+E102+E108+E119+E130+E141+E152</f>
        <v>921.56874623069689</v>
      </c>
      <c r="F183" s="1456">
        <f t="shared" si="34"/>
        <v>1088.019367297868</v>
      </c>
      <c r="G183" s="1456">
        <f t="shared" si="34"/>
        <v>458.0471040680323</v>
      </c>
      <c r="H183" s="1456">
        <f t="shared" si="34"/>
        <v>525.67998958115072</v>
      </c>
      <c r="I183" s="1456">
        <f t="shared" si="34"/>
        <v>0</v>
      </c>
      <c r="J183" s="1456">
        <f t="shared" si="34"/>
        <v>0</v>
      </c>
    </row>
    <row r="184" spans="2:10">
      <c r="C184" s="1455" t="s">
        <v>729</v>
      </c>
      <c r="D184" s="1456">
        <f>D17-D11+D28-D22+D35+D42+D49+D56+D63+D70+D86-D80+D97-D91+D114-D108-D102+D125-D119+D136-D130+D147-D141+D158-D152+D165+D172</f>
        <v>10374.486178880736</v>
      </c>
      <c r="E184" s="1456">
        <f t="shared" ref="E184:J184" si="35">E17-E11+E28-E22+E35+E42+E49+E56+E63+E70+E86-E80+E97-E91+E114-E108-E102+E125-E119+E136-E130+E147-E141+E158-E152+E165+E172</f>
        <v>0</v>
      </c>
      <c r="F184" s="1456">
        <f t="shared" si="35"/>
        <v>0</v>
      </c>
      <c r="G184" s="1456">
        <f t="shared" si="35"/>
        <v>0</v>
      </c>
      <c r="H184" s="1456">
        <f t="shared" si="35"/>
        <v>0</v>
      </c>
      <c r="I184" s="1456">
        <f t="shared" si="35"/>
        <v>0</v>
      </c>
      <c r="J184" s="1456">
        <f t="shared" si="35"/>
        <v>0</v>
      </c>
    </row>
    <row r="185" spans="2:10">
      <c r="C185" s="1455" t="s">
        <v>339</v>
      </c>
      <c r="D185" s="1456">
        <f>SUM(D183:D184)</f>
        <v>13367.801386058483</v>
      </c>
      <c r="E185" s="1456">
        <f t="shared" ref="E185:J185" si="36">SUM(E183:E184)</f>
        <v>921.56874623069689</v>
      </c>
      <c r="F185" s="1456">
        <f t="shared" si="36"/>
        <v>1088.019367297868</v>
      </c>
      <c r="G185" s="1456">
        <f t="shared" si="36"/>
        <v>458.0471040680323</v>
      </c>
      <c r="H185" s="1456">
        <f t="shared" si="36"/>
        <v>525.67998958115072</v>
      </c>
      <c r="I185" s="1456">
        <f t="shared" si="36"/>
        <v>0</v>
      </c>
      <c r="J185" s="1456">
        <f t="shared" si="36"/>
        <v>0</v>
      </c>
    </row>
  </sheetData>
  <autoFilter ref="A8:J172" xr:uid="{00000000-0009-0000-0000-000010000000}"/>
  <mergeCells count="1">
    <mergeCell ref="C1:J1"/>
  </mergeCells>
  <pageMargins left="0.7" right="0.7" top="0.75" bottom="0.75" header="0.3" footer="0.3"/>
  <pageSetup paperSize="9" scale="72"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pageSetUpPr fitToPage="1"/>
  </sheetPr>
  <dimension ref="A1:Z185"/>
  <sheetViews>
    <sheetView showGridLines="0" zoomScale="120" zoomScaleNormal="120" workbookViewId="0">
      <selection activeCell="D161" sqref="D161"/>
    </sheetView>
  </sheetViews>
  <sheetFormatPr baseColWidth="10" defaultColWidth="12.5703125" defaultRowHeight="15"/>
  <cols>
    <col min="1" max="1" width="12.5703125" style="425" customWidth="1"/>
    <col min="2" max="2" width="2.28515625" style="411" customWidth="1"/>
    <col min="3" max="3" width="52.5703125" style="411" customWidth="1"/>
    <col min="4" max="4" width="7.7109375" style="1328" customWidth="1"/>
    <col min="5" max="5" width="10" style="1328" customWidth="1"/>
    <col min="6" max="6" width="10" style="1245" customWidth="1"/>
    <col min="7" max="10" width="10" style="1328" customWidth="1"/>
    <col min="11" max="11" width="3.42578125" style="411" customWidth="1"/>
    <col min="12" max="12" width="13.5703125" style="411" customWidth="1"/>
    <col min="13" max="15" width="9" style="411" customWidth="1"/>
    <col min="16" max="16" width="7.7109375" style="411" customWidth="1"/>
    <col min="17" max="17" width="8.42578125" style="411" bestFit="1" customWidth="1"/>
    <col min="18" max="18" width="7.7109375" style="411" customWidth="1"/>
    <col min="19" max="19" width="16.42578125" style="411" customWidth="1"/>
    <col min="20" max="27" width="7.7109375" style="411" customWidth="1"/>
    <col min="28" max="16384" width="12.5703125" style="411"/>
  </cols>
  <sheetData>
    <row r="1" spans="1:26" ht="12" customHeight="1">
      <c r="C1" s="1519" t="s">
        <v>225</v>
      </c>
      <c r="D1" s="1519"/>
      <c r="E1" s="1519"/>
      <c r="F1" s="1519"/>
      <c r="G1" s="1519"/>
      <c r="H1" s="1519"/>
      <c r="I1" s="1519"/>
      <c r="J1" s="1519"/>
      <c r="K1" s="412"/>
      <c r="L1" s="412"/>
      <c r="M1" s="412"/>
      <c r="N1" s="412"/>
      <c r="O1" s="412"/>
      <c r="P1" s="412"/>
      <c r="Q1" s="412"/>
      <c r="R1" s="412"/>
      <c r="S1" s="412"/>
      <c r="T1" s="412"/>
      <c r="U1" s="412"/>
      <c r="V1" s="412"/>
      <c r="W1" s="412"/>
      <c r="X1" s="412"/>
      <c r="Y1" s="412"/>
      <c r="Z1" s="412"/>
    </row>
    <row r="2" spans="1:26" ht="12" customHeight="1">
      <c r="C2" s="413"/>
      <c r="D2" s="1168"/>
      <c r="E2" s="1168"/>
      <c r="G2" s="1168"/>
      <c r="H2" s="1168"/>
      <c r="I2" s="1168"/>
      <c r="J2" s="1168"/>
      <c r="K2" s="413"/>
    </row>
    <row r="3" spans="1:26" ht="12" customHeight="1">
      <c r="C3" s="541" t="str">
        <f>'T2 NSA'!A3</f>
        <v>Norway - TCZ</v>
      </c>
      <c r="D3" s="1168"/>
      <c r="E3" s="1168"/>
      <c r="G3" s="1168"/>
      <c r="H3" s="1168"/>
      <c r="I3" s="1168"/>
      <c r="J3" s="1168"/>
      <c r="K3" s="413"/>
    </row>
    <row r="4" spans="1:26" ht="12" customHeight="1">
      <c r="C4" s="542" t="str">
        <f>'T2 NSA'!A4</f>
        <v>Currency: NOK</v>
      </c>
      <c r="D4" s="1168"/>
      <c r="E4" s="1168"/>
      <c r="G4" s="1168"/>
      <c r="H4" s="1168"/>
      <c r="I4" s="1168"/>
      <c r="J4" s="1168"/>
      <c r="K4" s="413"/>
    </row>
    <row r="5" spans="1:26" ht="12" customHeight="1">
      <c r="C5" s="543" t="str">
        <f>'T2 NSA'!A5</f>
        <v>NSA</v>
      </c>
      <c r="D5" s="1168"/>
      <c r="E5" s="1246"/>
      <c r="G5" s="1247"/>
      <c r="H5" s="1168"/>
      <c r="I5" s="1168"/>
      <c r="J5" s="1168"/>
      <c r="K5" s="413"/>
    </row>
    <row r="6" spans="1:26" ht="12" customHeight="1">
      <c r="C6" s="414"/>
      <c r="D6" s="1248"/>
      <c r="E6" s="1248"/>
      <c r="F6" s="1248"/>
      <c r="G6" s="1248"/>
      <c r="H6" s="1248"/>
      <c r="I6" s="1248"/>
      <c r="J6" s="1248"/>
      <c r="K6" s="414"/>
    </row>
    <row r="7" spans="1:26" ht="12" customHeight="1">
      <c r="A7" s="425" t="s">
        <v>226</v>
      </c>
      <c r="B7" s="425"/>
      <c r="C7" s="415" t="s">
        <v>227</v>
      </c>
      <c r="D7" s="1249" t="s">
        <v>228</v>
      </c>
      <c r="E7" s="1250">
        <v>2020</v>
      </c>
      <c r="F7" s="1251">
        <v>2021</v>
      </c>
      <c r="G7" s="1251">
        <v>2022</v>
      </c>
      <c r="H7" s="1251">
        <v>2023</v>
      </c>
      <c r="I7" s="1252">
        <v>2024</v>
      </c>
      <c r="J7" s="415" t="s">
        <v>229</v>
      </c>
      <c r="K7" s="413"/>
    </row>
    <row r="8" spans="1:26" ht="12" customHeight="1">
      <c r="B8" s="425"/>
      <c r="C8" s="416"/>
      <c r="D8" s="1253"/>
      <c r="E8" s="1253"/>
      <c r="F8" s="1253"/>
      <c r="G8" s="1253"/>
      <c r="H8" s="1253"/>
      <c r="I8" s="1253"/>
      <c r="J8" s="1253"/>
      <c r="K8" s="413"/>
    </row>
    <row r="9" spans="1:26" ht="12" customHeight="1">
      <c r="A9" s="425">
        <v>2018</v>
      </c>
      <c r="B9" s="425"/>
      <c r="C9" s="417" t="s">
        <v>230</v>
      </c>
      <c r="D9" s="1254">
        <v>29.313286087571516</v>
      </c>
      <c r="E9" s="1255">
        <f>D9</f>
        <v>29.313286087571516</v>
      </c>
      <c r="F9" s="1256"/>
      <c r="G9" s="1257"/>
      <c r="H9" s="1257"/>
      <c r="I9" s="1258"/>
      <c r="J9" s="1259"/>
    </row>
    <row r="10" spans="1:26" ht="12" customHeight="1">
      <c r="A10" s="425">
        <v>2019</v>
      </c>
      <c r="B10" s="425"/>
      <c r="C10" s="419" t="s">
        <v>231</v>
      </c>
      <c r="D10" s="1260">
        <v>27.030407730094403</v>
      </c>
      <c r="E10" s="1261"/>
      <c r="F10" s="1262">
        <f>D10</f>
        <v>27.030407730094403</v>
      </c>
      <c r="G10" s="1263"/>
      <c r="H10" s="1263"/>
      <c r="I10" s="1264"/>
      <c r="J10" s="1265"/>
    </row>
    <row r="11" spans="1:26" ht="12" customHeight="1">
      <c r="A11" s="425" t="s">
        <v>232</v>
      </c>
      <c r="B11" s="425"/>
      <c r="C11" s="556" t="s">
        <v>233</v>
      </c>
      <c r="D11" s="1266">
        <f>SUM(D9:D10)</f>
        <v>56.343693817665923</v>
      </c>
      <c r="E11" s="1267">
        <f t="shared" ref="E11:F11" si="0">SUM(E9:E10)</f>
        <v>29.313286087571516</v>
      </c>
      <c r="F11" s="1268">
        <f t="shared" si="0"/>
        <v>27.030407730094403</v>
      </c>
      <c r="G11" s="1269"/>
      <c r="H11" s="1269"/>
      <c r="I11" s="1270"/>
      <c r="J11" s="1271"/>
    </row>
    <row r="12" spans="1:26" ht="12" customHeight="1">
      <c r="A12" s="425" t="s">
        <v>500</v>
      </c>
      <c r="B12" s="425"/>
      <c r="C12" s="943"/>
      <c r="D12" s="1272"/>
      <c r="E12" s="1272"/>
      <c r="F12" s="1272"/>
      <c r="G12" s="1272"/>
      <c r="H12" s="1272"/>
      <c r="I12" s="1272"/>
      <c r="J12" s="1272"/>
      <c r="K12" s="425"/>
      <c r="L12" s="418"/>
    </row>
    <row r="13" spans="1:26" ht="12" customHeight="1">
      <c r="A13" s="425" t="s">
        <v>501</v>
      </c>
      <c r="B13" s="425"/>
      <c r="C13" s="419" t="s">
        <v>510</v>
      </c>
      <c r="D13" s="1259"/>
      <c r="E13" s="1273"/>
      <c r="F13" s="1263"/>
      <c r="G13" s="1263"/>
      <c r="H13" s="1263"/>
      <c r="I13" s="1264"/>
      <c r="J13" s="1265"/>
    </row>
    <row r="14" spans="1:26" ht="12" customHeight="1">
      <c r="A14" s="425">
        <v>2022</v>
      </c>
      <c r="B14" s="425"/>
      <c r="C14" s="419" t="s">
        <v>234</v>
      </c>
      <c r="D14" s="1265"/>
      <c r="E14" s="1273"/>
      <c r="F14" s="1263"/>
      <c r="G14" s="1263"/>
      <c r="H14" s="1263"/>
      <c r="I14" s="1274"/>
      <c r="J14" s="1265"/>
    </row>
    <row r="15" spans="1:26" ht="12" customHeight="1">
      <c r="A15" s="425">
        <v>2023</v>
      </c>
      <c r="B15" s="425"/>
      <c r="C15" s="419" t="s">
        <v>235</v>
      </c>
      <c r="D15" s="1265"/>
      <c r="E15" s="1273"/>
      <c r="F15" s="1263"/>
      <c r="G15" s="1263"/>
      <c r="H15" s="1263"/>
      <c r="I15" s="1274"/>
      <c r="J15" s="1265"/>
    </row>
    <row r="16" spans="1:26" ht="12" customHeight="1">
      <c r="A16" s="425">
        <v>2024</v>
      </c>
      <c r="B16" s="425"/>
      <c r="C16" s="421" t="s">
        <v>236</v>
      </c>
      <c r="D16" s="1275"/>
      <c r="E16" s="1276"/>
      <c r="F16" s="1277"/>
      <c r="G16" s="1277"/>
      <c r="H16" s="1277"/>
      <c r="I16" s="1278"/>
      <c r="J16" s="1279"/>
    </row>
    <row r="17" spans="1:12" ht="12" customHeight="1">
      <c r="A17" s="425" t="s">
        <v>237</v>
      </c>
      <c r="B17" s="425"/>
      <c r="C17" s="422" t="s">
        <v>238</v>
      </c>
      <c r="D17" s="1280">
        <f>SUM(D11:D16)</f>
        <v>56.343693817665923</v>
      </c>
      <c r="E17" s="1281">
        <f t="shared" ref="E17:J17" si="1">SUM(E11:E16)</f>
        <v>29.313286087571516</v>
      </c>
      <c r="F17" s="1282">
        <f t="shared" si="1"/>
        <v>27.030407730094403</v>
      </c>
      <c r="G17" s="1282">
        <f t="shared" si="1"/>
        <v>0</v>
      </c>
      <c r="H17" s="1282">
        <f t="shared" si="1"/>
        <v>0</v>
      </c>
      <c r="I17" s="1283">
        <f t="shared" si="1"/>
        <v>0</v>
      </c>
      <c r="J17" s="1280">
        <f t="shared" si="1"/>
        <v>0</v>
      </c>
    </row>
    <row r="18" spans="1:12" ht="4.3499999999999996" customHeight="1">
      <c r="A18" s="540"/>
      <c r="B18" s="540"/>
      <c r="C18" s="427"/>
      <c r="D18" s="1284"/>
      <c r="E18" s="1285"/>
      <c r="F18" s="1285"/>
      <c r="G18" s="1285"/>
      <c r="H18" s="1285"/>
      <c r="I18" s="1285"/>
      <c r="J18" s="1285"/>
    </row>
    <row r="19" spans="1:12" ht="12" customHeight="1">
      <c r="A19" s="425">
        <v>2017</v>
      </c>
      <c r="B19" s="425"/>
      <c r="C19" s="417" t="s">
        <v>239</v>
      </c>
      <c r="D19" s="1286"/>
      <c r="E19" s="1287"/>
      <c r="F19" s="1257"/>
      <c r="G19" s="1257"/>
      <c r="H19" s="1257"/>
      <c r="I19" s="1288"/>
      <c r="J19" s="1259"/>
    </row>
    <row r="20" spans="1:12" ht="12" customHeight="1">
      <c r="A20" s="425">
        <v>2018</v>
      </c>
      <c r="B20" s="425"/>
      <c r="C20" s="419" t="s">
        <v>240</v>
      </c>
      <c r="D20" s="1289"/>
      <c r="E20" s="1273"/>
      <c r="F20" s="1263"/>
      <c r="G20" s="1263"/>
      <c r="H20" s="1263"/>
      <c r="I20" s="1264"/>
      <c r="J20" s="1265"/>
    </row>
    <row r="21" spans="1:12" ht="12" customHeight="1">
      <c r="A21" s="425">
        <v>2019</v>
      </c>
      <c r="B21" s="425"/>
      <c r="C21" s="419" t="s">
        <v>241</v>
      </c>
      <c r="D21" s="1289"/>
      <c r="E21" s="1273"/>
      <c r="F21" s="1263"/>
      <c r="G21" s="1263"/>
      <c r="H21" s="1263"/>
      <c r="I21" s="1264"/>
      <c r="J21" s="1265"/>
    </row>
    <row r="22" spans="1:12" s="429" customFormat="1" ht="12" customHeight="1">
      <c r="A22" s="425" t="s">
        <v>232</v>
      </c>
      <c r="B22" s="425"/>
      <c r="C22" s="556" t="s">
        <v>242</v>
      </c>
      <c r="D22" s="1290"/>
      <c r="E22" s="1291"/>
      <c r="F22" s="1292"/>
      <c r="G22" s="1292"/>
      <c r="H22" s="1292"/>
      <c r="I22" s="1293"/>
      <c r="J22" s="1290"/>
    </row>
    <row r="23" spans="1:12" ht="12" customHeight="1">
      <c r="A23" s="425" t="s">
        <v>500</v>
      </c>
      <c r="B23" s="425"/>
      <c r="C23" s="943"/>
      <c r="D23" s="1272"/>
      <c r="E23" s="1272"/>
      <c r="F23" s="1272"/>
      <c r="G23" s="1272"/>
      <c r="H23" s="1272"/>
      <c r="I23" s="1272"/>
      <c r="J23" s="1272"/>
      <c r="K23" s="425"/>
      <c r="L23" s="418"/>
    </row>
    <row r="24" spans="1:12" ht="12" customHeight="1">
      <c r="A24" s="425" t="s">
        <v>501</v>
      </c>
      <c r="B24" s="425"/>
      <c r="C24" s="419" t="s">
        <v>502</v>
      </c>
      <c r="D24" s="1259"/>
      <c r="E24" s="1273"/>
      <c r="F24" s="1263"/>
      <c r="G24" s="1263"/>
      <c r="H24" s="1263"/>
      <c r="I24" s="1264"/>
      <c r="J24" s="1265"/>
    </row>
    <row r="25" spans="1:12" ht="12" customHeight="1">
      <c r="A25" s="425">
        <v>2022</v>
      </c>
      <c r="B25" s="425"/>
      <c r="C25" s="419" t="s">
        <v>243</v>
      </c>
      <c r="D25" s="1265"/>
      <c r="E25" s="1273"/>
      <c r="F25" s="1263"/>
      <c r="G25" s="1263"/>
      <c r="H25" s="1263"/>
      <c r="I25" s="1274"/>
      <c r="J25" s="1265"/>
    </row>
    <row r="26" spans="1:12" ht="12" customHeight="1">
      <c r="A26" s="425">
        <v>2023</v>
      </c>
      <c r="B26" s="425"/>
      <c r="C26" s="419" t="s">
        <v>244</v>
      </c>
      <c r="D26" s="1265"/>
      <c r="E26" s="1273"/>
      <c r="F26" s="1263"/>
      <c r="G26" s="1263"/>
      <c r="H26" s="1263"/>
      <c r="I26" s="1274"/>
      <c r="J26" s="1265"/>
    </row>
    <row r="27" spans="1:12" ht="12" customHeight="1">
      <c r="A27" s="425">
        <v>2024</v>
      </c>
      <c r="B27" s="425"/>
      <c r="C27" s="421" t="s">
        <v>245</v>
      </c>
      <c r="D27" s="1275"/>
      <c r="E27" s="1276"/>
      <c r="F27" s="1277"/>
      <c r="G27" s="1277"/>
      <c r="H27" s="1277"/>
      <c r="I27" s="1278"/>
      <c r="J27" s="1279"/>
    </row>
    <row r="28" spans="1:12" ht="12" customHeight="1">
      <c r="A28" s="425" t="s">
        <v>237</v>
      </c>
      <c r="B28" s="425"/>
      <c r="C28" s="422" t="s">
        <v>246</v>
      </c>
      <c r="D28" s="1294"/>
      <c r="E28" s="1291"/>
      <c r="F28" s="1292"/>
      <c r="G28" s="1292"/>
      <c r="H28" s="1292"/>
      <c r="I28" s="1293"/>
      <c r="J28" s="1294"/>
    </row>
    <row r="29" spans="1:12" ht="4.3499999999999996" customHeight="1">
      <c r="A29" s="540"/>
      <c r="B29" s="540"/>
      <c r="C29" s="1065"/>
      <c r="D29" s="1295"/>
      <c r="E29" s="1296"/>
      <c r="F29" s="1296"/>
      <c r="G29" s="1296"/>
      <c r="H29" s="1296"/>
      <c r="I29" s="1296"/>
      <c r="J29" s="1296"/>
    </row>
    <row r="30" spans="1:12" ht="12" customHeight="1">
      <c r="A30" s="425" t="s">
        <v>500</v>
      </c>
      <c r="B30" s="425"/>
      <c r="C30" s="944"/>
      <c r="D30" s="1297"/>
      <c r="E30" s="1297"/>
      <c r="F30" s="1297"/>
      <c r="G30" s="1297"/>
      <c r="H30" s="1297"/>
      <c r="I30" s="1297"/>
      <c r="J30" s="1297"/>
      <c r="K30" s="425"/>
      <c r="L30" s="418"/>
    </row>
    <row r="31" spans="1:12" ht="12" customHeight="1">
      <c r="A31" s="425" t="s">
        <v>501</v>
      </c>
      <c r="B31" s="425"/>
      <c r="C31" s="419" t="s">
        <v>503</v>
      </c>
      <c r="D31" s="1298"/>
      <c r="E31" s="1273"/>
      <c r="F31" s="1263"/>
      <c r="G31" s="1263"/>
      <c r="H31" s="1299"/>
      <c r="I31" s="1264"/>
      <c r="J31" s="1265"/>
    </row>
    <row r="32" spans="1:12" ht="12" customHeight="1">
      <c r="A32" s="425">
        <v>2022</v>
      </c>
      <c r="B32" s="425"/>
      <c r="C32" s="423" t="s">
        <v>247</v>
      </c>
      <c r="D32" s="1298"/>
      <c r="E32" s="1273"/>
      <c r="F32" s="1263"/>
      <c r="G32" s="1263"/>
      <c r="H32" s="1263"/>
      <c r="I32" s="1300"/>
      <c r="J32" s="1265"/>
    </row>
    <row r="33" spans="1:12" ht="12" customHeight="1">
      <c r="A33" s="425">
        <v>2023</v>
      </c>
      <c r="B33" s="425"/>
      <c r="C33" s="423" t="s">
        <v>248</v>
      </c>
      <c r="D33" s="1298"/>
      <c r="E33" s="1273"/>
      <c r="F33" s="1263"/>
      <c r="G33" s="1263"/>
      <c r="H33" s="1263"/>
      <c r="I33" s="1274"/>
      <c r="J33" s="1265"/>
    </row>
    <row r="34" spans="1:12" ht="12" customHeight="1">
      <c r="A34" s="425">
        <v>2024</v>
      </c>
      <c r="B34" s="425"/>
      <c r="C34" s="424" t="s">
        <v>249</v>
      </c>
      <c r="D34" s="1301"/>
      <c r="E34" s="1276"/>
      <c r="F34" s="1277"/>
      <c r="G34" s="1277"/>
      <c r="H34" s="1277"/>
      <c r="I34" s="1278"/>
      <c r="J34" s="1279"/>
    </row>
    <row r="35" spans="1:12" ht="12" customHeight="1">
      <c r="A35" s="425" t="s">
        <v>237</v>
      </c>
      <c r="B35" s="425"/>
      <c r="C35" s="422" t="s">
        <v>250</v>
      </c>
      <c r="D35" s="1294"/>
      <c r="E35" s="1291"/>
      <c r="F35" s="1292"/>
      <c r="G35" s="1292"/>
      <c r="H35" s="1292"/>
      <c r="I35" s="1293"/>
      <c r="J35" s="1294"/>
    </row>
    <row r="36" spans="1:12" ht="4.3499999999999996" customHeight="1">
      <c r="A36" s="540"/>
      <c r="B36" s="540"/>
      <c r="C36" s="1065"/>
      <c r="D36" s="1295"/>
      <c r="E36" s="1296"/>
      <c r="F36" s="1296"/>
      <c r="G36" s="1296"/>
      <c r="H36" s="1296"/>
      <c r="I36" s="1296"/>
      <c r="J36" s="1296"/>
    </row>
    <row r="37" spans="1:12" ht="12" customHeight="1">
      <c r="A37" s="425" t="s">
        <v>500</v>
      </c>
      <c r="B37" s="425"/>
      <c r="C37" s="944"/>
      <c r="D37" s="1297"/>
      <c r="E37" s="1297"/>
      <c r="F37" s="1297"/>
      <c r="G37" s="1297"/>
      <c r="H37" s="1297"/>
      <c r="I37" s="1297"/>
      <c r="J37" s="1297"/>
      <c r="K37" s="425"/>
      <c r="L37" s="418"/>
    </row>
    <row r="38" spans="1:12" ht="12" customHeight="1">
      <c r="A38" s="425" t="s">
        <v>501</v>
      </c>
      <c r="B38" s="425"/>
      <c r="C38" s="417" t="s">
        <v>504</v>
      </c>
      <c r="D38" s="1254">
        <f>'T2 NSA'!C23</f>
        <v>0</v>
      </c>
      <c r="E38" s="1302"/>
      <c r="F38" s="1256"/>
      <c r="G38" s="1257"/>
      <c r="H38" s="1303">
        <f>D38</f>
        <v>0</v>
      </c>
      <c r="I38" s="1288"/>
      <c r="J38" s="1259"/>
    </row>
    <row r="39" spans="1:12" ht="12" customHeight="1">
      <c r="A39" s="425">
        <v>2022</v>
      </c>
      <c r="B39" s="425"/>
      <c r="C39" s="423" t="s">
        <v>251</v>
      </c>
      <c r="D39" s="1260">
        <f>'T2 NSA'!D23</f>
        <v>0</v>
      </c>
      <c r="E39" s="1261"/>
      <c r="F39" s="1304"/>
      <c r="G39" s="1263"/>
      <c r="H39" s="1263"/>
      <c r="I39" s="1305">
        <f>D39</f>
        <v>0</v>
      </c>
      <c r="J39" s="1265"/>
    </row>
    <row r="40" spans="1:12" ht="12" customHeight="1">
      <c r="A40" s="425">
        <v>2023</v>
      </c>
      <c r="B40" s="425"/>
      <c r="C40" s="423" t="s">
        <v>252</v>
      </c>
      <c r="D40" s="1260">
        <f>'T2 NSA'!E23</f>
        <v>0</v>
      </c>
      <c r="E40" s="1261"/>
      <c r="F40" s="1304"/>
      <c r="G40" s="1263"/>
      <c r="H40" s="1263"/>
      <c r="I40" s="1274"/>
      <c r="J40" s="1260">
        <f>D40</f>
        <v>0</v>
      </c>
      <c r="L40" s="233"/>
    </row>
    <row r="41" spans="1:12" ht="12" customHeight="1">
      <c r="A41" s="425">
        <v>2024</v>
      </c>
      <c r="B41" s="425"/>
      <c r="C41" s="942" t="s">
        <v>253</v>
      </c>
      <c r="D41" s="1306">
        <f>'T2 NSA'!F23</f>
        <v>0</v>
      </c>
      <c r="E41" s="1307"/>
      <c r="F41" s="1308"/>
      <c r="G41" s="1308"/>
      <c r="H41" s="1308"/>
      <c r="I41" s="1309"/>
      <c r="J41" s="1306">
        <f>D41</f>
        <v>0</v>
      </c>
    </row>
    <row r="42" spans="1:12" ht="12" customHeight="1">
      <c r="A42" s="425" t="s">
        <v>237</v>
      </c>
      <c r="B42" s="425"/>
      <c r="C42" s="422" t="s">
        <v>254</v>
      </c>
      <c r="D42" s="1280">
        <f>SUM(D37:D41)</f>
        <v>0</v>
      </c>
      <c r="E42" s="1291"/>
      <c r="F42" s="1292"/>
      <c r="G42" s="1292"/>
      <c r="H42" s="1282">
        <f t="shared" ref="H42:J42" si="2">SUM(H37:H41)</f>
        <v>0</v>
      </c>
      <c r="I42" s="1283">
        <f t="shared" si="2"/>
        <v>0</v>
      </c>
      <c r="J42" s="1280">
        <f t="shared" si="2"/>
        <v>0</v>
      </c>
    </row>
    <row r="43" spans="1:12" ht="4.3499999999999996" customHeight="1">
      <c r="A43" s="540"/>
      <c r="B43" s="540"/>
      <c r="C43" s="1065"/>
      <c r="D43" s="1295"/>
      <c r="E43" s="1296"/>
      <c r="F43" s="1296"/>
      <c r="G43" s="1296"/>
      <c r="H43" s="1296"/>
      <c r="I43" s="1296"/>
      <c r="J43" s="1296"/>
    </row>
    <row r="44" spans="1:12" ht="12" customHeight="1">
      <c r="A44" s="425" t="s">
        <v>500</v>
      </c>
      <c r="B44" s="425"/>
      <c r="C44" s="944"/>
      <c r="D44" s="1297"/>
      <c r="E44" s="1297"/>
      <c r="F44" s="1297"/>
      <c r="G44" s="1297"/>
      <c r="H44" s="1297"/>
      <c r="I44" s="1297"/>
      <c r="J44" s="1297"/>
      <c r="K44" s="425"/>
      <c r="L44" s="418"/>
    </row>
    <row r="45" spans="1:12" ht="12" customHeight="1">
      <c r="A45" s="425" t="s">
        <v>501</v>
      </c>
      <c r="B45" s="425"/>
      <c r="C45" s="419" t="s">
        <v>505</v>
      </c>
      <c r="D45" s="1265"/>
      <c r="E45" s="1273"/>
      <c r="F45" s="1263"/>
      <c r="G45" s="1263"/>
      <c r="H45" s="1263"/>
      <c r="I45" s="1264"/>
      <c r="J45" s="1265"/>
      <c r="L45" s="336"/>
    </row>
    <row r="46" spans="1:12" ht="12" customHeight="1">
      <c r="A46" s="425">
        <v>2022</v>
      </c>
      <c r="B46" s="425"/>
      <c r="C46" s="423" t="s">
        <v>255</v>
      </c>
      <c r="D46" s="1265"/>
      <c r="E46" s="1273"/>
      <c r="F46" s="1263"/>
      <c r="G46" s="1263"/>
      <c r="H46" s="1263"/>
      <c r="I46" s="1264"/>
      <c r="J46" s="1265"/>
    </row>
    <row r="47" spans="1:12" ht="12" customHeight="1">
      <c r="A47" s="425">
        <v>2023</v>
      </c>
      <c r="B47" s="425"/>
      <c r="C47" s="423" t="s">
        <v>256</v>
      </c>
      <c r="D47" s="1265"/>
      <c r="E47" s="1273"/>
      <c r="F47" s="1263"/>
      <c r="G47" s="1263"/>
      <c r="H47" s="1263"/>
      <c r="I47" s="1274"/>
      <c r="J47" s="1265"/>
    </row>
    <row r="48" spans="1:12" ht="12" customHeight="1">
      <c r="A48" s="425">
        <v>2024</v>
      </c>
      <c r="B48" s="425"/>
      <c r="C48" s="424" t="s">
        <v>257</v>
      </c>
      <c r="D48" s="1279"/>
      <c r="E48" s="1276"/>
      <c r="F48" s="1277"/>
      <c r="G48" s="1277"/>
      <c r="H48" s="1277"/>
      <c r="I48" s="1278"/>
      <c r="J48" s="1279"/>
    </row>
    <row r="49" spans="1:12" ht="12" customHeight="1">
      <c r="A49" s="425" t="s">
        <v>237</v>
      </c>
      <c r="B49" s="425"/>
      <c r="C49" s="422" t="s">
        <v>258</v>
      </c>
      <c r="D49" s="1294"/>
      <c r="E49" s="1291"/>
      <c r="F49" s="1292"/>
      <c r="G49" s="1292"/>
      <c r="H49" s="1292"/>
      <c r="I49" s="1293"/>
      <c r="J49" s="1294"/>
    </row>
    <row r="50" spans="1:12" ht="4.3499999999999996" customHeight="1">
      <c r="A50" s="540"/>
      <c r="B50" s="540"/>
      <c r="C50" s="1065"/>
      <c r="D50" s="1295"/>
      <c r="E50" s="1296"/>
      <c r="F50" s="1296"/>
      <c r="G50" s="1296"/>
      <c r="H50" s="1296"/>
      <c r="I50" s="1296"/>
      <c r="J50" s="1296"/>
    </row>
    <row r="51" spans="1:12" ht="12" customHeight="1">
      <c r="A51" s="425" t="s">
        <v>500</v>
      </c>
      <c r="B51" s="425"/>
      <c r="C51" s="944"/>
      <c r="D51" s="1297"/>
      <c r="E51" s="1297"/>
      <c r="F51" s="1297"/>
      <c r="G51" s="1297"/>
      <c r="H51" s="1297"/>
      <c r="I51" s="1297"/>
      <c r="J51" s="1297"/>
      <c r="K51" s="425"/>
      <c r="L51" s="418"/>
    </row>
    <row r="52" spans="1:12" ht="12" customHeight="1">
      <c r="A52" s="425" t="s">
        <v>501</v>
      </c>
      <c r="B52" s="425"/>
      <c r="C52" s="419" t="s">
        <v>506</v>
      </c>
      <c r="D52" s="1298"/>
      <c r="E52" s="1273"/>
      <c r="F52" s="1263"/>
      <c r="G52" s="1263"/>
      <c r="H52" s="1299"/>
      <c r="I52" s="1264"/>
      <c r="J52" s="1265"/>
    </row>
    <row r="53" spans="1:12" ht="12" customHeight="1">
      <c r="A53" s="425">
        <v>2022</v>
      </c>
      <c r="B53" s="425"/>
      <c r="C53" s="423" t="s">
        <v>259</v>
      </c>
      <c r="D53" s="1298"/>
      <c r="E53" s="1273"/>
      <c r="F53" s="1263"/>
      <c r="G53" s="1263"/>
      <c r="H53" s="1263"/>
      <c r="I53" s="1300"/>
      <c r="J53" s="1265"/>
    </row>
    <row r="54" spans="1:12" ht="12" customHeight="1">
      <c r="A54" s="425">
        <v>2023</v>
      </c>
      <c r="B54" s="425"/>
      <c r="C54" s="423" t="s">
        <v>260</v>
      </c>
      <c r="D54" s="1298"/>
      <c r="E54" s="1273"/>
      <c r="F54" s="1263"/>
      <c r="G54" s="1263"/>
      <c r="H54" s="1263"/>
      <c r="I54" s="1274"/>
      <c r="J54" s="1265"/>
    </row>
    <row r="55" spans="1:12" ht="12" customHeight="1">
      <c r="A55" s="425">
        <v>2024</v>
      </c>
      <c r="B55" s="425"/>
      <c r="C55" s="424" t="s">
        <v>261</v>
      </c>
      <c r="D55" s="1301"/>
      <c r="E55" s="1276"/>
      <c r="F55" s="1277"/>
      <c r="G55" s="1277"/>
      <c r="H55" s="1277"/>
      <c r="I55" s="1278"/>
      <c r="J55" s="1279"/>
    </row>
    <row r="56" spans="1:12" ht="12" customHeight="1">
      <c r="A56" s="425" t="s">
        <v>237</v>
      </c>
      <c r="B56" s="425"/>
      <c r="C56" s="422" t="s">
        <v>262</v>
      </c>
      <c r="D56" s="1294"/>
      <c r="E56" s="1291"/>
      <c r="F56" s="1292"/>
      <c r="G56" s="1292"/>
      <c r="H56" s="1292"/>
      <c r="I56" s="1293"/>
      <c r="J56" s="1294"/>
    </row>
    <row r="57" spans="1:12" ht="4.3499999999999996" customHeight="1">
      <c r="A57" s="540"/>
      <c r="B57" s="540"/>
      <c r="C57" s="1065"/>
      <c r="D57" s="1295"/>
      <c r="E57" s="1296"/>
      <c r="F57" s="1296"/>
      <c r="G57" s="1296"/>
      <c r="H57" s="1296"/>
      <c r="I57" s="1296"/>
      <c r="J57" s="1296"/>
    </row>
    <row r="58" spans="1:12" ht="12" customHeight="1">
      <c r="A58" s="425" t="s">
        <v>500</v>
      </c>
      <c r="B58" s="425"/>
      <c r="C58" s="944"/>
      <c r="D58" s="1297"/>
      <c r="E58" s="1297"/>
      <c r="F58" s="1297"/>
      <c r="G58" s="1297"/>
      <c r="H58" s="1297"/>
      <c r="I58" s="1297"/>
      <c r="J58" s="1297"/>
      <c r="K58" s="425"/>
      <c r="L58" s="418"/>
    </row>
    <row r="59" spans="1:12" ht="12" customHeight="1">
      <c r="A59" s="425" t="s">
        <v>501</v>
      </c>
      <c r="B59" s="425"/>
      <c r="C59" s="419" t="s">
        <v>507</v>
      </c>
      <c r="D59" s="1298"/>
      <c r="E59" s="1273"/>
      <c r="F59" s="1263"/>
      <c r="G59" s="1263"/>
      <c r="H59" s="1299"/>
      <c r="I59" s="1264"/>
      <c r="J59" s="1265"/>
    </row>
    <row r="60" spans="1:12" ht="12" customHeight="1">
      <c r="A60" s="425">
        <v>2022</v>
      </c>
      <c r="B60" s="425"/>
      <c r="C60" s="423" t="s">
        <v>263</v>
      </c>
      <c r="D60" s="1298"/>
      <c r="E60" s="1273"/>
      <c r="F60" s="1263"/>
      <c r="G60" s="1263"/>
      <c r="H60" s="1263"/>
      <c r="I60" s="1300"/>
      <c r="J60" s="1265"/>
    </row>
    <row r="61" spans="1:12" ht="12" customHeight="1">
      <c r="A61" s="425">
        <v>2023</v>
      </c>
      <c r="B61" s="425"/>
      <c r="C61" s="423" t="s">
        <v>264</v>
      </c>
      <c r="D61" s="1298"/>
      <c r="E61" s="1273"/>
      <c r="F61" s="1263"/>
      <c r="G61" s="1263"/>
      <c r="H61" s="1263"/>
      <c r="I61" s="1274"/>
      <c r="J61" s="1265"/>
    </row>
    <row r="62" spans="1:12" ht="12" customHeight="1">
      <c r="A62" s="425">
        <v>2024</v>
      </c>
      <c r="B62" s="425"/>
      <c r="C62" s="424" t="s">
        <v>265</v>
      </c>
      <c r="D62" s="1301"/>
      <c r="E62" s="1276"/>
      <c r="F62" s="1277"/>
      <c r="G62" s="1277"/>
      <c r="H62" s="1277"/>
      <c r="I62" s="1278"/>
      <c r="J62" s="1279"/>
    </row>
    <row r="63" spans="1:12" ht="12" customHeight="1">
      <c r="A63" s="425" t="s">
        <v>237</v>
      </c>
      <c r="B63" s="425"/>
      <c r="C63" s="422" t="s">
        <v>266</v>
      </c>
      <c r="D63" s="1294"/>
      <c r="E63" s="1291"/>
      <c r="F63" s="1292"/>
      <c r="G63" s="1292"/>
      <c r="H63" s="1292"/>
      <c r="I63" s="1293"/>
      <c r="J63" s="1294"/>
    </row>
    <row r="64" spans="1:12" ht="4.3499999999999996" customHeight="1">
      <c r="A64" s="540"/>
      <c r="B64" s="540"/>
      <c r="C64" s="1065"/>
      <c r="D64" s="1295"/>
      <c r="E64" s="1296"/>
      <c r="F64" s="1296"/>
      <c r="G64" s="1296"/>
      <c r="H64" s="1296"/>
      <c r="I64" s="1296"/>
      <c r="J64" s="1296"/>
    </row>
    <row r="65" spans="1:12" ht="12" customHeight="1">
      <c r="A65" s="425" t="s">
        <v>500</v>
      </c>
      <c r="B65" s="425"/>
      <c r="C65" s="944"/>
      <c r="D65" s="1297"/>
      <c r="E65" s="1297"/>
      <c r="F65" s="1297"/>
      <c r="G65" s="1297"/>
      <c r="H65" s="1297"/>
      <c r="I65" s="1297"/>
      <c r="J65" s="1297"/>
      <c r="K65" s="425"/>
      <c r="L65" s="418"/>
    </row>
    <row r="66" spans="1:12" ht="12" customHeight="1">
      <c r="A66" s="425" t="s">
        <v>501</v>
      </c>
      <c r="B66" s="425"/>
      <c r="C66" s="419" t="s">
        <v>508</v>
      </c>
      <c r="D66" s="1298"/>
      <c r="E66" s="1273"/>
      <c r="F66" s="1263"/>
      <c r="G66" s="1263"/>
      <c r="H66" s="1299"/>
      <c r="I66" s="1264"/>
      <c r="J66" s="1265"/>
    </row>
    <row r="67" spans="1:12" ht="12" customHeight="1">
      <c r="A67" s="425">
        <v>2022</v>
      </c>
      <c r="B67" s="425"/>
      <c r="C67" s="423" t="s">
        <v>267</v>
      </c>
      <c r="D67" s="1298"/>
      <c r="E67" s="1273"/>
      <c r="F67" s="1263"/>
      <c r="G67" s="1263"/>
      <c r="H67" s="1263"/>
      <c r="I67" s="1300"/>
      <c r="J67" s="1265"/>
    </row>
    <row r="68" spans="1:12" ht="12" customHeight="1">
      <c r="A68" s="425">
        <v>2023</v>
      </c>
      <c r="B68" s="425"/>
      <c r="C68" s="423" t="s">
        <v>268</v>
      </c>
      <c r="D68" s="1298"/>
      <c r="E68" s="1273"/>
      <c r="F68" s="1263"/>
      <c r="G68" s="1263"/>
      <c r="H68" s="1263"/>
      <c r="I68" s="1274"/>
      <c r="J68" s="1265"/>
    </row>
    <row r="69" spans="1:12" ht="12" customHeight="1">
      <c r="A69" s="425">
        <v>2024</v>
      </c>
      <c r="B69" s="425"/>
      <c r="C69" s="424" t="s">
        <v>269</v>
      </c>
      <c r="D69" s="1301"/>
      <c r="E69" s="1276"/>
      <c r="F69" s="1277"/>
      <c r="G69" s="1277"/>
      <c r="H69" s="1277"/>
      <c r="I69" s="1278"/>
      <c r="J69" s="1279"/>
    </row>
    <row r="70" spans="1:12" ht="12" customHeight="1">
      <c r="A70" s="425" t="s">
        <v>237</v>
      </c>
      <c r="B70" s="425"/>
      <c r="C70" s="422" t="s">
        <v>270</v>
      </c>
      <c r="D70" s="1294"/>
      <c r="E70" s="1291"/>
      <c r="F70" s="1292"/>
      <c r="G70" s="1292"/>
      <c r="H70" s="1292"/>
      <c r="I70" s="1293"/>
      <c r="J70" s="1294"/>
    </row>
    <row r="71" spans="1:12" ht="4.3499999999999996" customHeight="1">
      <c r="A71" s="540"/>
      <c r="B71" s="540"/>
      <c r="C71" s="427"/>
      <c r="D71" s="1310"/>
      <c r="E71" s="1311"/>
      <c r="F71" s="1311"/>
      <c r="G71" s="1311"/>
      <c r="H71" s="1311"/>
      <c r="I71" s="1311"/>
      <c r="J71" s="1311"/>
    </row>
    <row r="72" spans="1:12" ht="12" customHeight="1">
      <c r="A72" s="425">
        <v>2017</v>
      </c>
      <c r="B72" s="425"/>
      <c r="C72" s="417" t="s">
        <v>271</v>
      </c>
      <c r="D72" s="1254">
        <v>0</v>
      </c>
      <c r="E72" s="1312">
        <v>0</v>
      </c>
      <c r="F72" s="1303">
        <v>0</v>
      </c>
      <c r="G72" s="1303">
        <v>0</v>
      </c>
      <c r="H72" s="1303">
        <v>0</v>
      </c>
      <c r="I72" s="1303">
        <v>0</v>
      </c>
      <c r="J72" s="1254">
        <f t="shared" ref="J72:J74" si="3">D72-SUM(E72:I72)</f>
        <v>0</v>
      </c>
    </row>
    <row r="73" spans="1:12" ht="12" customHeight="1">
      <c r="A73" s="425">
        <v>2018</v>
      </c>
      <c r="B73" s="425"/>
      <c r="C73" s="419" t="s">
        <v>272</v>
      </c>
      <c r="D73" s="1260">
        <v>0</v>
      </c>
      <c r="E73" s="1313">
        <v>0</v>
      </c>
      <c r="F73" s="1314">
        <v>0</v>
      </c>
      <c r="G73" s="1314">
        <v>0</v>
      </c>
      <c r="H73" s="1314">
        <v>0</v>
      </c>
      <c r="I73" s="1314">
        <v>0</v>
      </c>
      <c r="J73" s="1260">
        <f t="shared" si="3"/>
        <v>0</v>
      </c>
    </row>
    <row r="74" spans="1:12" ht="12" customHeight="1">
      <c r="A74" s="425">
        <v>2019</v>
      </c>
      <c r="B74" s="425"/>
      <c r="C74" s="419" t="s">
        <v>273</v>
      </c>
      <c r="D74" s="1260">
        <v>0</v>
      </c>
      <c r="E74" s="1261"/>
      <c r="F74" s="1314">
        <v>0</v>
      </c>
      <c r="G74" s="1314">
        <v>0</v>
      </c>
      <c r="H74" s="1314">
        <v>0</v>
      </c>
      <c r="I74" s="1305">
        <v>0</v>
      </c>
      <c r="J74" s="1260">
        <f t="shared" si="3"/>
        <v>0</v>
      </c>
    </row>
    <row r="75" spans="1:12" ht="12" customHeight="1">
      <c r="A75" s="425" t="s">
        <v>237</v>
      </c>
      <c r="B75" s="425"/>
      <c r="C75" s="559" t="s">
        <v>274</v>
      </c>
      <c r="D75" s="1280">
        <f>SUM(D72:D74)</f>
        <v>0</v>
      </c>
      <c r="E75" s="1281">
        <f t="shared" ref="E75:J75" si="4">SUM(E72:E74)</f>
        <v>0</v>
      </c>
      <c r="F75" s="1282">
        <f t="shared" si="4"/>
        <v>0</v>
      </c>
      <c r="G75" s="1282">
        <f t="shared" si="4"/>
        <v>0</v>
      </c>
      <c r="H75" s="1282">
        <f t="shared" si="4"/>
        <v>0</v>
      </c>
      <c r="I75" s="1283">
        <f t="shared" si="4"/>
        <v>0</v>
      </c>
      <c r="J75" s="1280">
        <f t="shared" si="4"/>
        <v>0</v>
      </c>
    </row>
    <row r="76" spans="1:12" ht="4.3499999999999996" customHeight="1">
      <c r="A76" s="540"/>
      <c r="B76" s="540"/>
      <c r="C76" s="427"/>
      <c r="D76" s="1310"/>
      <c r="E76" s="1311"/>
      <c r="F76" s="1311"/>
      <c r="G76" s="1311"/>
      <c r="H76" s="1311"/>
      <c r="I76" s="1311"/>
      <c r="J76" s="1311"/>
    </row>
    <row r="77" spans="1:12" ht="12" customHeight="1">
      <c r="A77" s="425">
        <v>2017</v>
      </c>
      <c r="B77" s="425"/>
      <c r="C77" s="417" t="s">
        <v>275</v>
      </c>
      <c r="D77" s="1259"/>
      <c r="E77" s="1287"/>
      <c r="F77" s="1257"/>
      <c r="G77" s="1257"/>
      <c r="H77" s="1257"/>
      <c r="I77" s="1288"/>
      <c r="J77" s="1259"/>
    </row>
    <row r="78" spans="1:12" ht="12" customHeight="1">
      <c r="A78" s="425">
        <v>2018</v>
      </c>
      <c r="B78" s="425"/>
      <c r="C78" s="419" t="s">
        <v>276</v>
      </c>
      <c r="D78" s="1265"/>
      <c r="E78" s="1273"/>
      <c r="F78" s="1263"/>
      <c r="G78" s="1263"/>
      <c r="H78" s="1263"/>
      <c r="I78" s="1274"/>
      <c r="J78" s="1265"/>
    </row>
    <row r="79" spans="1:12" ht="12" customHeight="1">
      <c r="A79" s="425">
        <v>2019</v>
      </c>
      <c r="B79" s="425"/>
      <c r="C79" s="419" t="s">
        <v>277</v>
      </c>
      <c r="D79" s="1265"/>
      <c r="E79" s="1273"/>
      <c r="F79" s="1263"/>
      <c r="G79" s="1263"/>
      <c r="H79" s="1263"/>
      <c r="I79" s="1264"/>
      <c r="J79" s="1265"/>
    </row>
    <row r="80" spans="1:12" ht="12" customHeight="1">
      <c r="A80" s="425" t="s">
        <v>232</v>
      </c>
      <c r="B80" s="425"/>
      <c r="C80" s="556" t="s">
        <v>278</v>
      </c>
      <c r="D80" s="1290"/>
      <c r="E80" s="1291"/>
      <c r="F80" s="1292"/>
      <c r="G80" s="1292"/>
      <c r="H80" s="1292"/>
      <c r="I80" s="1293"/>
      <c r="J80" s="1290"/>
    </row>
    <row r="81" spans="1:12" ht="12" customHeight="1">
      <c r="A81" s="425" t="s">
        <v>500</v>
      </c>
      <c r="B81" s="425"/>
      <c r="C81" s="1066"/>
      <c r="D81" s="1315"/>
      <c r="E81" s="1315"/>
      <c r="F81" s="1315"/>
      <c r="G81" s="1315"/>
      <c r="H81" s="1315"/>
      <c r="I81" s="1315"/>
      <c r="J81" s="1315"/>
      <c r="K81" s="425"/>
      <c r="L81" s="418"/>
    </row>
    <row r="82" spans="1:12" ht="12" customHeight="1">
      <c r="A82" s="425" t="s">
        <v>500</v>
      </c>
      <c r="B82" s="425"/>
      <c r="C82" s="944"/>
      <c r="D82" s="1297"/>
      <c r="E82" s="1297"/>
      <c r="F82" s="1297"/>
      <c r="G82" s="1297"/>
      <c r="H82" s="1297"/>
      <c r="I82" s="1297"/>
      <c r="J82" s="1297"/>
      <c r="K82" s="425"/>
      <c r="L82" s="418"/>
    </row>
    <row r="83" spans="1:12" ht="12" customHeight="1">
      <c r="A83" s="425">
        <v>2022</v>
      </c>
      <c r="B83" s="425"/>
      <c r="C83" s="419" t="s">
        <v>279</v>
      </c>
      <c r="D83" s="1316"/>
      <c r="E83" s="1273"/>
      <c r="F83" s="1263"/>
      <c r="G83" s="1263"/>
      <c r="H83" s="1263"/>
      <c r="I83" s="1264"/>
      <c r="J83" s="1265"/>
    </row>
    <row r="84" spans="1:12" ht="12" customHeight="1">
      <c r="A84" s="425">
        <v>2023</v>
      </c>
      <c r="B84" s="425"/>
      <c r="C84" s="419" t="s">
        <v>280</v>
      </c>
      <c r="D84" s="1316"/>
      <c r="E84" s="1273"/>
      <c r="F84" s="1263"/>
      <c r="G84" s="1263"/>
      <c r="H84" s="1263"/>
      <c r="I84" s="1274"/>
      <c r="J84" s="1265"/>
    </row>
    <row r="85" spans="1:12" ht="12" customHeight="1">
      <c r="A85" s="425">
        <v>2024</v>
      </c>
      <c r="B85" s="425"/>
      <c r="C85" s="421" t="s">
        <v>281</v>
      </c>
      <c r="D85" s="1317"/>
      <c r="E85" s="1276"/>
      <c r="F85" s="1277"/>
      <c r="G85" s="1277"/>
      <c r="H85" s="1277"/>
      <c r="I85" s="1278"/>
      <c r="J85" s="1279"/>
    </row>
    <row r="86" spans="1:12" ht="12" customHeight="1">
      <c r="A86" s="425" t="s">
        <v>237</v>
      </c>
      <c r="B86" s="425"/>
      <c r="C86" s="422" t="s">
        <v>282</v>
      </c>
      <c r="D86" s="1294"/>
      <c r="E86" s="1291"/>
      <c r="F86" s="1292"/>
      <c r="G86" s="1292"/>
      <c r="H86" s="1292"/>
      <c r="I86" s="1293"/>
      <c r="J86" s="1294"/>
    </row>
    <row r="87" spans="1:12" ht="4.3499999999999996" customHeight="1">
      <c r="A87" s="540"/>
      <c r="B87" s="540"/>
      <c r="C87" s="427"/>
      <c r="D87" s="1310"/>
      <c r="E87" s="1310"/>
      <c r="F87" s="1310"/>
      <c r="G87" s="1310"/>
      <c r="H87" s="1310"/>
      <c r="I87" s="1318"/>
      <c r="J87" s="1310"/>
    </row>
    <row r="88" spans="1:12" ht="12" customHeight="1">
      <c r="A88" s="425">
        <v>2017</v>
      </c>
      <c r="B88" s="425"/>
      <c r="C88" s="417" t="s">
        <v>283</v>
      </c>
      <c r="D88" s="1254">
        <v>0</v>
      </c>
      <c r="E88" s="1312">
        <v>0</v>
      </c>
      <c r="F88" s="1303">
        <v>0</v>
      </c>
      <c r="G88" s="1303">
        <v>0</v>
      </c>
      <c r="H88" s="1303">
        <v>0</v>
      </c>
      <c r="I88" s="1319">
        <v>0</v>
      </c>
      <c r="J88" s="1259"/>
    </row>
    <row r="89" spans="1:12" ht="12" customHeight="1">
      <c r="A89" s="425">
        <v>2018</v>
      </c>
      <c r="B89" s="425"/>
      <c r="C89" s="419" t="s">
        <v>284</v>
      </c>
      <c r="D89" s="1260">
        <v>0</v>
      </c>
      <c r="E89" s="1313">
        <f>+D89</f>
        <v>0</v>
      </c>
      <c r="F89" s="1314">
        <v>0</v>
      </c>
      <c r="G89" s="1314">
        <v>0</v>
      </c>
      <c r="H89" s="1314">
        <v>0</v>
      </c>
      <c r="I89" s="1305">
        <v>0</v>
      </c>
      <c r="J89" s="1265"/>
    </row>
    <row r="90" spans="1:12" ht="12" customHeight="1">
      <c r="A90" s="425">
        <v>2019</v>
      </c>
      <c r="B90" s="425"/>
      <c r="C90" s="419" t="s">
        <v>285</v>
      </c>
      <c r="D90" s="1260">
        <v>0</v>
      </c>
      <c r="E90" s="1261"/>
      <c r="F90" s="1314">
        <f>+D90</f>
        <v>0</v>
      </c>
      <c r="G90" s="1314">
        <v>0</v>
      </c>
      <c r="H90" s="1314">
        <v>0</v>
      </c>
      <c r="I90" s="1305">
        <v>0</v>
      </c>
      <c r="J90" s="1265"/>
    </row>
    <row r="91" spans="1:12" ht="12" customHeight="1">
      <c r="A91" s="425" t="s">
        <v>232</v>
      </c>
      <c r="B91" s="425"/>
      <c r="C91" s="556" t="s">
        <v>286</v>
      </c>
      <c r="D91" s="1268">
        <f>SUM(D88:D90)</f>
        <v>0</v>
      </c>
      <c r="E91" s="1268">
        <f t="shared" ref="E91:I91" si="5">SUM(E88:E90)</f>
        <v>0</v>
      </c>
      <c r="F91" s="1268">
        <f t="shared" si="5"/>
        <v>0</v>
      </c>
      <c r="G91" s="1268">
        <f t="shared" si="5"/>
        <v>0</v>
      </c>
      <c r="H91" s="1268">
        <f t="shared" si="5"/>
        <v>0</v>
      </c>
      <c r="I91" s="1320">
        <f t="shared" si="5"/>
        <v>0</v>
      </c>
      <c r="J91" s="1290"/>
    </row>
    <row r="92" spans="1:12" ht="12" customHeight="1">
      <c r="A92" s="425" t="s">
        <v>500</v>
      </c>
      <c r="B92" s="425"/>
      <c r="C92" s="943"/>
      <c r="D92" s="1272"/>
      <c r="E92" s="1272"/>
      <c r="F92" s="1272"/>
      <c r="G92" s="1272"/>
      <c r="H92" s="1272"/>
      <c r="I92" s="1272"/>
      <c r="J92" s="1272"/>
      <c r="K92" s="425"/>
      <c r="L92" s="418"/>
    </row>
    <row r="93" spans="1:12" ht="12" customHeight="1">
      <c r="A93" s="425" t="s">
        <v>501</v>
      </c>
      <c r="B93" s="425"/>
      <c r="C93" s="419" t="s">
        <v>517</v>
      </c>
      <c r="D93" s="1321">
        <f>'T2 NSA'!C59</f>
        <v>0</v>
      </c>
      <c r="E93" s="1261"/>
      <c r="F93" s="1304"/>
      <c r="G93" s="1263"/>
      <c r="H93" s="1314">
        <f>+D93</f>
        <v>0</v>
      </c>
      <c r="I93" s="1264"/>
      <c r="J93" s="1265"/>
    </row>
    <row r="94" spans="1:12" ht="12" customHeight="1">
      <c r="A94" s="425">
        <v>2022</v>
      </c>
      <c r="B94" s="425"/>
      <c r="C94" s="419" t="s">
        <v>287</v>
      </c>
      <c r="D94" s="1260">
        <f>'T2 NSA'!D59</f>
        <v>0</v>
      </c>
      <c r="E94" s="1261"/>
      <c r="F94" s="1304"/>
      <c r="G94" s="1263"/>
      <c r="H94" s="1263"/>
      <c r="I94" s="1305">
        <f>+D94</f>
        <v>0</v>
      </c>
      <c r="J94" s="1265"/>
    </row>
    <row r="95" spans="1:12" ht="12" customHeight="1">
      <c r="A95" s="425">
        <v>2023</v>
      </c>
      <c r="B95" s="425"/>
      <c r="C95" s="419" t="s">
        <v>288</v>
      </c>
      <c r="D95" s="1260">
        <f>'T2 NSA'!E59</f>
        <v>0</v>
      </c>
      <c r="E95" s="1261"/>
      <c r="F95" s="1304"/>
      <c r="G95" s="1263"/>
      <c r="H95" s="1263"/>
      <c r="I95" s="1274"/>
      <c r="J95" s="1260">
        <f>+D95</f>
        <v>0</v>
      </c>
    </row>
    <row r="96" spans="1:12" ht="12" customHeight="1">
      <c r="A96" s="425">
        <v>2024</v>
      </c>
      <c r="B96" s="425"/>
      <c r="C96" s="421" t="s">
        <v>289</v>
      </c>
      <c r="D96" s="1322">
        <f>'T2 NSA'!F59</f>
        <v>0</v>
      </c>
      <c r="E96" s="1307"/>
      <c r="F96" s="1308"/>
      <c r="G96" s="1308"/>
      <c r="H96" s="1308"/>
      <c r="I96" s="1309"/>
      <c r="J96" s="1322">
        <f>+D96</f>
        <v>0</v>
      </c>
    </row>
    <row r="97" spans="1:12" ht="12" customHeight="1">
      <c r="A97" s="425" t="s">
        <v>237</v>
      </c>
      <c r="B97" s="425"/>
      <c r="C97" s="422" t="s">
        <v>290</v>
      </c>
      <c r="D97" s="1280">
        <f>SUM(D91:D96)</f>
        <v>0</v>
      </c>
      <c r="E97" s="1281">
        <f t="shared" ref="E97:I97" si="6">SUM(E91:E96)</f>
        <v>0</v>
      </c>
      <c r="F97" s="1282">
        <f t="shared" si="6"/>
        <v>0</v>
      </c>
      <c r="G97" s="1282">
        <f t="shared" si="6"/>
        <v>0</v>
      </c>
      <c r="H97" s="1282">
        <f t="shared" si="6"/>
        <v>0</v>
      </c>
      <c r="I97" s="1283">
        <f t="shared" si="6"/>
        <v>0</v>
      </c>
      <c r="J97" s="1280">
        <f>SUM(J91:J96)</f>
        <v>0</v>
      </c>
    </row>
    <row r="98" spans="1:12" ht="4.3499999999999996" customHeight="1">
      <c r="A98" s="540"/>
      <c r="B98" s="540"/>
      <c r="C98" s="427"/>
      <c r="D98" s="1310"/>
      <c r="E98" s="1311"/>
      <c r="F98" s="1311"/>
      <c r="G98" s="1311"/>
      <c r="H98" s="1311"/>
      <c r="I98" s="1311"/>
      <c r="J98" s="1311"/>
    </row>
    <row r="99" spans="1:12" ht="12" customHeight="1">
      <c r="A99" s="425">
        <v>2017</v>
      </c>
      <c r="B99" s="425"/>
      <c r="C99" s="417" t="s">
        <v>291</v>
      </c>
      <c r="D99" s="1254">
        <v>0</v>
      </c>
      <c r="E99" s="1312">
        <v>0</v>
      </c>
      <c r="F99" s="1303">
        <v>0</v>
      </c>
      <c r="G99" s="1303">
        <v>0</v>
      </c>
      <c r="H99" s="1303">
        <v>0</v>
      </c>
      <c r="I99" s="1319">
        <v>0</v>
      </c>
      <c r="J99" s="1254">
        <f t="shared" ref="J99:J101" si="7">D99-SUM(E99:I99)</f>
        <v>0</v>
      </c>
    </row>
    <row r="100" spans="1:12" ht="12" customHeight="1">
      <c r="A100" s="425">
        <v>2018</v>
      </c>
      <c r="B100" s="425"/>
      <c r="C100" s="419" t="s">
        <v>292</v>
      </c>
      <c r="D100" s="1260">
        <v>132.04425245703607</v>
      </c>
      <c r="E100" s="1313">
        <f>D100</f>
        <v>132.04425245703607</v>
      </c>
      <c r="F100" s="1314">
        <v>0</v>
      </c>
      <c r="G100" s="1314">
        <v>0</v>
      </c>
      <c r="H100" s="1314">
        <v>0</v>
      </c>
      <c r="I100" s="1305">
        <v>0</v>
      </c>
      <c r="J100" s="1260">
        <f t="shared" si="7"/>
        <v>0</v>
      </c>
    </row>
    <row r="101" spans="1:12" ht="12" customHeight="1">
      <c r="A101" s="425">
        <v>2019</v>
      </c>
      <c r="B101" s="425"/>
      <c r="C101" s="419" t="s">
        <v>293</v>
      </c>
      <c r="D101" s="1260">
        <v>162.46520916747048</v>
      </c>
      <c r="E101" s="1261"/>
      <c r="F101" s="1314">
        <f>+D101</f>
        <v>162.46520916747048</v>
      </c>
      <c r="G101" s="1314">
        <v>0</v>
      </c>
      <c r="H101" s="1314">
        <v>0</v>
      </c>
      <c r="I101" s="1305">
        <v>0</v>
      </c>
      <c r="J101" s="1260">
        <f t="shared" si="7"/>
        <v>0</v>
      </c>
    </row>
    <row r="102" spans="1:12" ht="12" customHeight="1">
      <c r="A102" s="425" t="s">
        <v>232</v>
      </c>
      <c r="B102" s="425"/>
      <c r="C102" s="556" t="s">
        <v>294</v>
      </c>
      <c r="D102" s="1266">
        <f t="shared" ref="D102:J102" si="8">SUM(D99:D101)</f>
        <v>294.50946162450657</v>
      </c>
      <c r="E102" s="1267">
        <f t="shared" si="8"/>
        <v>132.04425245703607</v>
      </c>
      <c r="F102" s="1268">
        <f t="shared" si="8"/>
        <v>162.46520916747048</v>
      </c>
      <c r="G102" s="1268">
        <f t="shared" si="8"/>
        <v>0</v>
      </c>
      <c r="H102" s="1268">
        <f t="shared" si="8"/>
        <v>0</v>
      </c>
      <c r="I102" s="1323">
        <f t="shared" si="8"/>
        <v>0</v>
      </c>
      <c r="J102" s="1266">
        <f t="shared" si="8"/>
        <v>0</v>
      </c>
    </row>
    <row r="103" spans="1:12" ht="12" customHeight="1">
      <c r="A103" s="425" t="s">
        <v>501</v>
      </c>
      <c r="B103" s="425"/>
      <c r="C103" s="1393" t="s">
        <v>720</v>
      </c>
      <c r="D103" s="1395">
        <f>(IF('T1'!R68&gt;0,((E11+E22+E75+E80+E91+E102+E108+E119+E130+E141+E152)*-('T1'!R68/'T2'!C104-1)),0))</f>
        <v>80.199500636495799</v>
      </c>
      <c r="E103" s="1396"/>
      <c r="F103" s="1397"/>
      <c r="G103" s="1239">
        <f>D103</f>
        <v>80.199500636495799</v>
      </c>
      <c r="H103" s="1239">
        <v>0</v>
      </c>
      <c r="I103" s="1239">
        <v>0</v>
      </c>
      <c r="J103" s="1254">
        <f>D103-SUM(E103:I103)</f>
        <v>0</v>
      </c>
      <c r="K103" s="425"/>
      <c r="L103" s="418"/>
    </row>
    <row r="104" spans="1:12" ht="12" customHeight="1">
      <c r="A104" s="425" t="s">
        <v>501</v>
      </c>
      <c r="B104" s="425"/>
      <c r="C104" s="1393" t="s">
        <v>721</v>
      </c>
      <c r="D104" s="1436">
        <f>(IF('T1'!L68&gt;0,((F11+F22+F75+F80+F91+F102+F108+F119+F130+F141+F152)*-('T1'!L68/'T2'!C105-1)),0))</f>
        <v>91.555405087852819</v>
      </c>
      <c r="E104" s="1398"/>
      <c r="F104" s="1399"/>
      <c r="G104" s="1400"/>
      <c r="H104" s="1439">
        <f>+D104</f>
        <v>91.555405087852819</v>
      </c>
      <c r="I104" s="1242">
        <v>0</v>
      </c>
      <c r="J104" s="1260">
        <f>D104-SUM(E104:I104)</f>
        <v>0</v>
      </c>
    </row>
    <row r="105" spans="1:12" ht="12" customHeight="1">
      <c r="A105" s="425">
        <v>2022</v>
      </c>
      <c r="B105" s="425"/>
      <c r="C105" s="1393" t="s">
        <v>295</v>
      </c>
      <c r="D105" s="1260">
        <f>(G11+G22+G75+G80+G91+G102+G108+G119+G130+G141+G152)*-'T2'!D40</f>
        <v>0</v>
      </c>
      <c r="E105" s="1398"/>
      <c r="F105" s="1399"/>
      <c r="G105" s="1400"/>
      <c r="H105" s="1299"/>
      <c r="I105" s="1242">
        <f>+D105</f>
        <v>0</v>
      </c>
      <c r="J105" s="1260">
        <f>D105-SUM(E105:I105)</f>
        <v>0</v>
      </c>
    </row>
    <row r="106" spans="1:12" ht="12" customHeight="1">
      <c r="A106" s="425">
        <v>2023</v>
      </c>
      <c r="B106" s="425"/>
      <c r="C106" s="1393" t="s">
        <v>296</v>
      </c>
      <c r="D106" s="1260">
        <f>(H11+H22+H75+H80+H91+H102+H108+H119+H130+H141+H152)*-'T2'!E40</f>
        <v>0</v>
      </c>
      <c r="E106" s="1398"/>
      <c r="F106" s="1399"/>
      <c r="G106" s="1400"/>
      <c r="H106" s="1400"/>
      <c r="I106" s="1401"/>
      <c r="J106" s="1260">
        <f>D106-SUM(E106:I106)</f>
        <v>0</v>
      </c>
    </row>
    <row r="107" spans="1:12" ht="12" customHeight="1">
      <c r="A107" s="425">
        <v>2024</v>
      </c>
      <c r="B107" s="425"/>
      <c r="C107" s="1394" t="s">
        <v>297</v>
      </c>
      <c r="D107" s="1306">
        <f>(I11+I22+I75+I80+I91+I102+I108+I119+I130+I141+I152)*-'T2'!F40</f>
        <v>0</v>
      </c>
      <c r="E107" s="1402"/>
      <c r="F107" s="1403"/>
      <c r="G107" s="1404"/>
      <c r="H107" s="1404"/>
      <c r="I107" s="1405"/>
      <c r="J107" s="1306">
        <f>D107-SUM(E107:I107)</f>
        <v>0</v>
      </c>
    </row>
    <row r="108" spans="1:12" ht="12" customHeight="1">
      <c r="A108" s="425" t="s">
        <v>232</v>
      </c>
      <c r="B108" s="425"/>
      <c r="C108" s="556" t="s">
        <v>298</v>
      </c>
      <c r="D108" s="1306">
        <f t="shared" ref="D108:H108" si="9">SUM(D103:D107)</f>
        <v>171.75490572434862</v>
      </c>
      <c r="E108" s="1325">
        <f t="shared" si="9"/>
        <v>0</v>
      </c>
      <c r="F108" s="1268">
        <f t="shared" si="9"/>
        <v>0</v>
      </c>
      <c r="G108" s="1268">
        <f>SUM(G103:G107)</f>
        <v>80.199500636495799</v>
      </c>
      <c r="H108" s="1268">
        <f t="shared" si="9"/>
        <v>91.555405087852819</v>
      </c>
      <c r="I108" s="1320">
        <f>SUM(I103:I107)</f>
        <v>0</v>
      </c>
      <c r="J108" s="1266">
        <f>SUM(J103:J107)</f>
        <v>0</v>
      </c>
    </row>
    <row r="109" spans="1:12" ht="12" customHeight="1">
      <c r="A109" s="425" t="s">
        <v>500</v>
      </c>
      <c r="B109" s="425"/>
      <c r="C109" s="943"/>
      <c r="D109" s="1272"/>
      <c r="E109" s="1272"/>
      <c r="F109" s="1272"/>
      <c r="G109" s="1272"/>
      <c r="H109" s="1272"/>
      <c r="I109" s="1272"/>
      <c r="J109" s="1272"/>
      <c r="K109" s="425"/>
      <c r="L109" s="418"/>
    </row>
    <row r="110" spans="1:12" ht="12" customHeight="1">
      <c r="A110" s="425" t="s">
        <v>501</v>
      </c>
      <c r="B110" s="425"/>
      <c r="C110" s="419" t="s">
        <v>509</v>
      </c>
      <c r="D110" s="1260">
        <f>'T2 NSA'!C46</f>
        <v>0</v>
      </c>
      <c r="E110" s="1261"/>
      <c r="F110" s="1304"/>
      <c r="G110" s="1263"/>
      <c r="H110" s="1241">
        <f>D110</f>
        <v>0</v>
      </c>
      <c r="I110" s="1314">
        <f>D110-H110</f>
        <v>0</v>
      </c>
      <c r="J110" s="1265"/>
    </row>
    <row r="111" spans="1:12" ht="12" customHeight="1">
      <c r="A111" s="425">
        <v>2022</v>
      </c>
      <c r="B111" s="425"/>
      <c r="C111" s="419" t="s">
        <v>299</v>
      </c>
      <c r="D111" s="1260">
        <f>'T2 NSA'!D46</f>
        <v>0</v>
      </c>
      <c r="E111" s="1261"/>
      <c r="F111" s="1304"/>
      <c r="G111" s="1263"/>
      <c r="H111" s="1263"/>
      <c r="I111" s="1305">
        <f>D111</f>
        <v>0</v>
      </c>
      <c r="J111" s="1265"/>
    </row>
    <row r="112" spans="1:12" ht="12" customHeight="1">
      <c r="A112" s="425">
        <v>2023</v>
      </c>
      <c r="B112" s="425"/>
      <c r="C112" s="419" t="s">
        <v>300</v>
      </c>
      <c r="D112" s="1260">
        <f>'T2 NSA'!E46</f>
        <v>0</v>
      </c>
      <c r="E112" s="1261"/>
      <c r="F112" s="1304"/>
      <c r="G112" s="1263"/>
      <c r="H112" s="1263"/>
      <c r="I112" s="1274"/>
      <c r="J112" s="1326">
        <f>D112</f>
        <v>0</v>
      </c>
    </row>
    <row r="113" spans="1:12" ht="12" customHeight="1">
      <c r="A113" s="425">
        <v>2024</v>
      </c>
      <c r="B113" s="425"/>
      <c r="C113" s="421" t="s">
        <v>301</v>
      </c>
      <c r="D113" s="1322">
        <f>'T2 NSA'!F46</f>
        <v>0</v>
      </c>
      <c r="E113" s="1307"/>
      <c r="F113" s="1308"/>
      <c r="G113" s="1308"/>
      <c r="H113" s="1308"/>
      <c r="I113" s="1309"/>
      <c r="J113" s="1327">
        <f>D113</f>
        <v>0</v>
      </c>
    </row>
    <row r="114" spans="1:12" ht="12" customHeight="1">
      <c r="A114" s="425" t="s">
        <v>237</v>
      </c>
      <c r="B114" s="425"/>
      <c r="C114" s="422" t="s">
        <v>302</v>
      </c>
      <c r="D114" s="1280">
        <f>D102+SUM(D108:D113)</f>
        <v>466.26436734885522</v>
      </c>
      <c r="E114" s="1281">
        <f t="shared" ref="E114:J114" si="10">E102+SUM(E108:E113)</f>
        <v>132.04425245703607</v>
      </c>
      <c r="F114" s="1282">
        <f t="shared" si="10"/>
        <v>162.46520916747048</v>
      </c>
      <c r="G114" s="1282">
        <f t="shared" si="10"/>
        <v>80.199500636495799</v>
      </c>
      <c r="H114" s="1282">
        <f t="shared" si="10"/>
        <v>91.555405087852819</v>
      </c>
      <c r="I114" s="1283">
        <f t="shared" si="10"/>
        <v>0</v>
      </c>
      <c r="J114" s="1280">
        <f t="shared" si="10"/>
        <v>0</v>
      </c>
    </row>
    <row r="115" spans="1:12" ht="4.3499999999999996" customHeight="1">
      <c r="A115" s="540"/>
      <c r="B115" s="540"/>
    </row>
    <row r="116" spans="1:12" ht="12" customHeight="1">
      <c r="A116" s="425">
        <v>2017</v>
      </c>
      <c r="B116" s="425"/>
      <c r="C116" s="417" t="s">
        <v>303</v>
      </c>
      <c r="D116" s="1240">
        <v>0</v>
      </c>
      <c r="E116" s="1312">
        <v>0</v>
      </c>
      <c r="F116" s="1303">
        <v>0</v>
      </c>
      <c r="G116" s="1239">
        <v>0</v>
      </c>
      <c r="H116" s="1239">
        <v>0</v>
      </c>
      <c r="I116" s="1240">
        <v>0</v>
      </c>
      <c r="J116" s="1254">
        <f t="shared" ref="J116:J124" si="11">D116-SUM(E116:I116)</f>
        <v>0</v>
      </c>
    </row>
    <row r="117" spans="1:12" ht="12" customHeight="1">
      <c r="A117" s="425">
        <v>2018</v>
      </c>
      <c r="B117" s="425"/>
      <c r="C117" s="419" t="s">
        <v>304</v>
      </c>
      <c r="D117" s="1242">
        <v>0</v>
      </c>
      <c r="E117" s="1313">
        <v>0</v>
      </c>
      <c r="F117" s="1314">
        <v>0</v>
      </c>
      <c r="G117" s="1241">
        <v>0</v>
      </c>
      <c r="H117" s="1241">
        <v>0</v>
      </c>
      <c r="I117" s="1242">
        <v>0</v>
      </c>
      <c r="J117" s="1260">
        <f t="shared" si="11"/>
        <v>0</v>
      </c>
    </row>
    <row r="118" spans="1:12" ht="12" customHeight="1">
      <c r="A118" s="425">
        <v>2019</v>
      </c>
      <c r="B118" s="425"/>
      <c r="C118" s="419" t="s">
        <v>305</v>
      </c>
      <c r="D118" s="1244">
        <v>0</v>
      </c>
      <c r="E118" s="1313">
        <v>0</v>
      </c>
      <c r="F118" s="1314">
        <v>0</v>
      </c>
      <c r="G118" s="1243">
        <v>0</v>
      </c>
      <c r="H118" s="1243">
        <v>0</v>
      </c>
      <c r="I118" s="1244">
        <v>0</v>
      </c>
      <c r="J118" s="1260">
        <f t="shared" si="11"/>
        <v>0</v>
      </c>
    </row>
    <row r="119" spans="1:12" ht="12" customHeight="1">
      <c r="A119" s="425" t="s">
        <v>232</v>
      </c>
      <c r="B119" s="425"/>
      <c r="C119" s="556" t="s">
        <v>306</v>
      </c>
      <c r="D119" s="1266">
        <f>SUM(D116:D118)</f>
        <v>0</v>
      </c>
      <c r="E119" s="1267">
        <f t="shared" ref="E119:J119" si="12">SUM(E116:E118)</f>
        <v>0</v>
      </c>
      <c r="F119" s="1268">
        <f t="shared" si="12"/>
        <v>0</v>
      </c>
      <c r="G119" s="1268">
        <f t="shared" si="12"/>
        <v>0</v>
      </c>
      <c r="H119" s="1268">
        <f t="shared" si="12"/>
        <v>0</v>
      </c>
      <c r="I119" s="1323">
        <f t="shared" si="12"/>
        <v>0</v>
      </c>
      <c r="J119" s="1266">
        <f t="shared" si="12"/>
        <v>0</v>
      </c>
    </row>
    <row r="120" spans="1:12" ht="12" customHeight="1">
      <c r="A120" s="425" t="s">
        <v>500</v>
      </c>
      <c r="B120" s="425"/>
      <c r="C120" s="943"/>
      <c r="D120" s="1272"/>
      <c r="E120" s="1272"/>
      <c r="F120" s="1272"/>
      <c r="G120" s="1272"/>
      <c r="H120" s="1272"/>
      <c r="I120" s="1272"/>
      <c r="J120" s="1272"/>
      <c r="K120" s="425"/>
      <c r="L120" s="418"/>
    </row>
    <row r="121" spans="1:12" ht="12" customHeight="1">
      <c r="A121" s="425" t="s">
        <v>501</v>
      </c>
      <c r="B121" s="425"/>
      <c r="C121" s="419" t="s">
        <v>516</v>
      </c>
      <c r="D121" s="1260">
        <f>'T2 NSA'!C69</f>
        <v>0</v>
      </c>
      <c r="E121" s="1313">
        <v>0</v>
      </c>
      <c r="F121" s="1314">
        <v>0</v>
      </c>
      <c r="G121" s="1241">
        <v>0</v>
      </c>
      <c r="H121" s="1241">
        <v>0</v>
      </c>
      <c r="I121" s="1242">
        <v>0</v>
      </c>
      <c r="J121" s="1260">
        <f t="shared" si="11"/>
        <v>0</v>
      </c>
    </row>
    <row r="122" spans="1:12" ht="12" customHeight="1">
      <c r="A122" s="425">
        <v>2022</v>
      </c>
      <c r="B122" s="425"/>
      <c r="C122" s="419" t="s">
        <v>307</v>
      </c>
      <c r="D122" s="1329">
        <f>'T2 NSA'!D69</f>
        <v>0</v>
      </c>
      <c r="E122" s="1273"/>
      <c r="F122" s="1263"/>
      <c r="G122" s="1241">
        <v>0</v>
      </c>
      <c r="H122" s="1241">
        <v>0</v>
      </c>
      <c r="I122" s="1242">
        <v>0</v>
      </c>
      <c r="J122" s="1260">
        <f t="shared" si="11"/>
        <v>0</v>
      </c>
    </row>
    <row r="123" spans="1:12" ht="12" customHeight="1">
      <c r="A123" s="425">
        <v>2023</v>
      </c>
      <c r="B123" s="425"/>
      <c r="C123" s="419" t="s">
        <v>308</v>
      </c>
      <c r="D123" s="1329">
        <f>'T2 NSA'!E69</f>
        <v>0</v>
      </c>
      <c r="E123" s="1273"/>
      <c r="F123" s="1263"/>
      <c r="G123" s="1299"/>
      <c r="H123" s="1241">
        <v>0</v>
      </c>
      <c r="I123" s="1242">
        <v>0</v>
      </c>
      <c r="J123" s="1260">
        <f t="shared" si="11"/>
        <v>0</v>
      </c>
    </row>
    <row r="124" spans="1:12" ht="12" customHeight="1">
      <c r="A124" s="425">
        <v>2024</v>
      </c>
      <c r="B124" s="425"/>
      <c r="C124" s="421" t="s">
        <v>309</v>
      </c>
      <c r="D124" s="1330">
        <f>'T2 NSA'!F69</f>
        <v>0</v>
      </c>
      <c r="E124" s="1276"/>
      <c r="F124" s="1277"/>
      <c r="G124" s="1324"/>
      <c r="H124" s="1324"/>
      <c r="I124" s="1244">
        <v>0</v>
      </c>
      <c r="J124" s="1322">
        <f t="shared" si="11"/>
        <v>0</v>
      </c>
    </row>
    <row r="125" spans="1:12" ht="12" customHeight="1">
      <c r="A125" s="425" t="s">
        <v>237</v>
      </c>
      <c r="B125" s="425"/>
      <c r="C125" s="422" t="s">
        <v>310</v>
      </c>
      <c r="D125" s="1280">
        <f>SUM(D119:D124)</f>
        <v>0</v>
      </c>
      <c r="E125" s="1281">
        <f t="shared" ref="E125:J125" si="13">SUM(E119:E124)</f>
        <v>0</v>
      </c>
      <c r="F125" s="1282">
        <f t="shared" si="13"/>
        <v>0</v>
      </c>
      <c r="G125" s="1282">
        <f t="shared" si="13"/>
        <v>0</v>
      </c>
      <c r="H125" s="1282">
        <f t="shared" si="13"/>
        <v>0</v>
      </c>
      <c r="I125" s="1283">
        <f t="shared" si="13"/>
        <v>0</v>
      </c>
      <c r="J125" s="1280">
        <f t="shared" si="13"/>
        <v>0</v>
      </c>
    </row>
    <row r="126" spans="1:12" ht="4.3499999999999996" customHeight="1">
      <c r="A126" s="540"/>
      <c r="B126" s="540"/>
    </row>
    <row r="127" spans="1:12" ht="12" customHeight="1">
      <c r="A127" s="425">
        <v>2017</v>
      </c>
      <c r="B127" s="425"/>
      <c r="C127" s="417" t="s">
        <v>311</v>
      </c>
      <c r="D127" s="1240">
        <v>0</v>
      </c>
      <c r="E127" s="1312">
        <v>0</v>
      </c>
      <c r="F127" s="1303">
        <v>0</v>
      </c>
      <c r="G127" s="1239">
        <v>0</v>
      </c>
      <c r="H127" s="1239">
        <v>0</v>
      </c>
      <c r="I127" s="1240">
        <v>0</v>
      </c>
      <c r="J127" s="1254">
        <f t="shared" ref="J127:J129" si="14">D127-SUM(E127:I127)</f>
        <v>0</v>
      </c>
    </row>
    <row r="128" spans="1:12" ht="12" customHeight="1">
      <c r="A128" s="425">
        <v>2018</v>
      </c>
      <c r="B128" s="425"/>
      <c r="C128" s="419" t="s">
        <v>312</v>
      </c>
      <c r="D128" s="1242">
        <v>0</v>
      </c>
      <c r="E128" s="1313">
        <v>0</v>
      </c>
      <c r="F128" s="1314">
        <v>0</v>
      </c>
      <c r="G128" s="1241">
        <v>0</v>
      </c>
      <c r="H128" s="1241">
        <v>0</v>
      </c>
      <c r="I128" s="1242">
        <v>0</v>
      </c>
      <c r="J128" s="1260">
        <f t="shared" si="14"/>
        <v>0</v>
      </c>
    </row>
    <row r="129" spans="1:12" ht="12" customHeight="1">
      <c r="A129" s="425">
        <v>2019</v>
      </c>
      <c r="B129" s="425"/>
      <c r="C129" s="419" t="s">
        <v>313</v>
      </c>
      <c r="D129" s="1244">
        <v>0</v>
      </c>
      <c r="E129" s="1313">
        <v>0</v>
      </c>
      <c r="F129" s="1314">
        <v>0</v>
      </c>
      <c r="G129" s="1243">
        <v>0</v>
      </c>
      <c r="H129" s="1243">
        <v>0</v>
      </c>
      <c r="I129" s="1244">
        <v>0</v>
      </c>
      <c r="J129" s="1260">
        <f t="shared" si="14"/>
        <v>0</v>
      </c>
    </row>
    <row r="130" spans="1:12" ht="12" customHeight="1">
      <c r="A130" s="425" t="s">
        <v>232</v>
      </c>
      <c r="B130" s="425"/>
      <c r="C130" s="556" t="s">
        <v>314</v>
      </c>
      <c r="D130" s="1266">
        <f>SUM(D127:D129)</f>
        <v>0</v>
      </c>
      <c r="E130" s="1267">
        <f t="shared" ref="E130:J130" si="15">SUM(E127:E129)</f>
        <v>0</v>
      </c>
      <c r="F130" s="1268">
        <f t="shared" si="15"/>
        <v>0</v>
      </c>
      <c r="G130" s="1268">
        <f t="shared" si="15"/>
        <v>0</v>
      </c>
      <c r="H130" s="1268">
        <f t="shared" si="15"/>
        <v>0</v>
      </c>
      <c r="I130" s="1323">
        <f t="shared" si="15"/>
        <v>0</v>
      </c>
      <c r="J130" s="1266">
        <f t="shared" si="15"/>
        <v>0</v>
      </c>
    </row>
    <row r="131" spans="1:12" ht="12" customHeight="1">
      <c r="A131" s="425" t="s">
        <v>500</v>
      </c>
      <c r="B131" s="425"/>
      <c r="C131" s="943"/>
      <c r="D131" s="1272"/>
      <c r="E131" s="1272"/>
      <c r="F131" s="1272"/>
      <c r="G131" s="1272"/>
      <c r="H131" s="1272"/>
      <c r="I131" s="1272"/>
      <c r="J131" s="1272"/>
      <c r="K131" s="425"/>
      <c r="L131" s="418"/>
    </row>
    <row r="132" spans="1:12" ht="12" customHeight="1">
      <c r="A132" s="425" t="s">
        <v>501</v>
      </c>
      <c r="B132" s="425"/>
      <c r="C132" s="419" t="s">
        <v>515</v>
      </c>
      <c r="D132" s="1260">
        <f>'T2 NSA'!C70</f>
        <v>0</v>
      </c>
      <c r="E132" s="1313">
        <v>0</v>
      </c>
      <c r="F132" s="1314">
        <v>0</v>
      </c>
      <c r="G132" s="1241">
        <v>0</v>
      </c>
      <c r="H132" s="1241">
        <v>0</v>
      </c>
      <c r="I132" s="1242">
        <v>0</v>
      </c>
      <c r="J132" s="1260">
        <f t="shared" ref="J132:J135" si="16">D132-SUM(E132:I132)</f>
        <v>0</v>
      </c>
    </row>
    <row r="133" spans="1:12" ht="12" customHeight="1">
      <c r="A133" s="425">
        <v>2022</v>
      </c>
      <c r="B133" s="425"/>
      <c r="C133" s="419" t="s">
        <v>315</v>
      </c>
      <c r="D133" s="1329">
        <f>'T2 NSA'!D70</f>
        <v>0</v>
      </c>
      <c r="E133" s="1273"/>
      <c r="F133" s="1263"/>
      <c r="G133" s="1241">
        <v>0</v>
      </c>
      <c r="H133" s="1241">
        <v>0</v>
      </c>
      <c r="I133" s="1242">
        <v>0</v>
      </c>
      <c r="J133" s="1260">
        <f t="shared" si="16"/>
        <v>0</v>
      </c>
    </row>
    <row r="134" spans="1:12" ht="12" customHeight="1">
      <c r="A134" s="425">
        <v>2023</v>
      </c>
      <c r="B134" s="425"/>
      <c r="C134" s="419" t="s">
        <v>316</v>
      </c>
      <c r="D134" s="1329">
        <f>'T2 NSA'!E70</f>
        <v>0</v>
      </c>
      <c r="E134" s="1273"/>
      <c r="F134" s="1263"/>
      <c r="G134" s="1299"/>
      <c r="H134" s="1241">
        <v>0</v>
      </c>
      <c r="I134" s="1242">
        <v>0</v>
      </c>
      <c r="J134" s="1260">
        <f t="shared" si="16"/>
        <v>0</v>
      </c>
    </row>
    <row r="135" spans="1:12" ht="12" customHeight="1">
      <c r="A135" s="425">
        <v>2024</v>
      </c>
      <c r="B135" s="425"/>
      <c r="C135" s="421" t="s">
        <v>317</v>
      </c>
      <c r="D135" s="1330">
        <f>'T2 NSA'!F70</f>
        <v>0</v>
      </c>
      <c r="E135" s="1276"/>
      <c r="F135" s="1277"/>
      <c r="G135" s="1324"/>
      <c r="H135" s="1324"/>
      <c r="I135" s="1244">
        <v>0</v>
      </c>
      <c r="J135" s="1322">
        <f t="shared" si="16"/>
        <v>0</v>
      </c>
    </row>
    <row r="136" spans="1:12" ht="12" customHeight="1">
      <c r="A136" s="425" t="s">
        <v>237</v>
      </c>
      <c r="B136" s="425"/>
      <c r="C136" s="422" t="s">
        <v>318</v>
      </c>
      <c r="D136" s="1280">
        <f>SUM(D130:D135)</f>
        <v>0</v>
      </c>
      <c r="E136" s="1281">
        <f t="shared" ref="E136:J136" si="17">SUM(E130:E135)</f>
        <v>0</v>
      </c>
      <c r="F136" s="1282">
        <f t="shared" si="17"/>
        <v>0</v>
      </c>
      <c r="G136" s="1282">
        <f t="shared" si="17"/>
        <v>0</v>
      </c>
      <c r="H136" s="1282">
        <f t="shared" si="17"/>
        <v>0</v>
      </c>
      <c r="I136" s="1283">
        <f t="shared" si="17"/>
        <v>0</v>
      </c>
      <c r="J136" s="1280">
        <f t="shared" si="17"/>
        <v>0</v>
      </c>
    </row>
    <row r="137" spans="1:12" ht="4.3499999999999996" customHeight="1">
      <c r="A137" s="540"/>
      <c r="B137" s="540"/>
    </row>
    <row r="138" spans="1:12" ht="12" customHeight="1">
      <c r="A138" s="425">
        <v>2017</v>
      </c>
      <c r="B138" s="425"/>
      <c r="C138" s="417" t="s">
        <v>319</v>
      </c>
      <c r="D138" s="1240">
        <v>0</v>
      </c>
      <c r="E138" s="1312">
        <v>0</v>
      </c>
      <c r="F138" s="1303">
        <v>0</v>
      </c>
      <c r="G138" s="1239">
        <v>0</v>
      </c>
      <c r="H138" s="1239">
        <v>0</v>
      </c>
      <c r="I138" s="1240">
        <v>0</v>
      </c>
      <c r="J138" s="1254">
        <f>D138-SUM(E138:I138)</f>
        <v>0</v>
      </c>
    </row>
    <row r="139" spans="1:12" ht="12" customHeight="1">
      <c r="A139" s="425">
        <v>2018</v>
      </c>
      <c r="B139" s="425"/>
      <c r="C139" s="419" t="s">
        <v>320</v>
      </c>
      <c r="D139" s="1242">
        <v>0</v>
      </c>
      <c r="E139" s="1313">
        <v>0</v>
      </c>
      <c r="F139" s="1314">
        <v>0</v>
      </c>
      <c r="G139" s="1241">
        <v>0</v>
      </c>
      <c r="H139" s="1241">
        <v>0</v>
      </c>
      <c r="I139" s="1242">
        <v>0</v>
      </c>
      <c r="J139" s="1260">
        <f>D139-SUM(E139:I139)</f>
        <v>0</v>
      </c>
    </row>
    <row r="140" spans="1:12" ht="12" customHeight="1">
      <c r="A140" s="425">
        <v>2019</v>
      </c>
      <c r="B140" s="425"/>
      <c r="C140" s="419" t="s">
        <v>321</v>
      </c>
      <c r="D140" s="1244">
        <v>0</v>
      </c>
      <c r="E140" s="1313">
        <v>0</v>
      </c>
      <c r="F140" s="1314">
        <v>0</v>
      </c>
      <c r="G140" s="1243">
        <v>0</v>
      </c>
      <c r="H140" s="1243">
        <v>0</v>
      </c>
      <c r="I140" s="1244">
        <v>0</v>
      </c>
      <c r="J140" s="1260">
        <f>D140-SUM(E140:I140)</f>
        <v>0</v>
      </c>
    </row>
    <row r="141" spans="1:12" ht="12" customHeight="1">
      <c r="A141" s="425" t="s">
        <v>232</v>
      </c>
      <c r="B141" s="425"/>
      <c r="C141" s="556" t="s">
        <v>322</v>
      </c>
      <c r="D141" s="1266">
        <f>SUM(D138:D140)</f>
        <v>0</v>
      </c>
      <c r="E141" s="1267">
        <f t="shared" ref="E141:J141" si="18">SUM(E138:E140)</f>
        <v>0</v>
      </c>
      <c r="F141" s="1268">
        <f t="shared" si="18"/>
        <v>0</v>
      </c>
      <c r="G141" s="1268">
        <f t="shared" si="18"/>
        <v>0</v>
      </c>
      <c r="H141" s="1268">
        <f t="shared" si="18"/>
        <v>0</v>
      </c>
      <c r="I141" s="1323">
        <f t="shared" si="18"/>
        <v>0</v>
      </c>
      <c r="J141" s="1266">
        <f t="shared" si="18"/>
        <v>0</v>
      </c>
    </row>
    <row r="142" spans="1:12" ht="12" customHeight="1">
      <c r="A142" s="425" t="s">
        <v>500</v>
      </c>
      <c r="B142" s="425"/>
      <c r="C142" s="943"/>
      <c r="D142" s="1272"/>
      <c r="E142" s="1272"/>
      <c r="F142" s="1272"/>
      <c r="G142" s="1272"/>
      <c r="H142" s="1272"/>
      <c r="I142" s="1272"/>
      <c r="J142" s="1272"/>
      <c r="K142" s="425"/>
      <c r="L142" s="418"/>
    </row>
    <row r="143" spans="1:12" ht="12" customHeight="1">
      <c r="A143" s="425" t="s">
        <v>501</v>
      </c>
      <c r="B143" s="425"/>
      <c r="C143" s="419" t="s">
        <v>514</v>
      </c>
      <c r="D143" s="1260">
        <f>'T2 NSA'!C71</f>
        <v>0</v>
      </c>
      <c r="E143" s="1313">
        <v>0</v>
      </c>
      <c r="F143" s="1314">
        <v>0</v>
      </c>
      <c r="G143" s="1241">
        <v>0</v>
      </c>
      <c r="H143" s="1241">
        <v>0</v>
      </c>
      <c r="I143" s="1331"/>
      <c r="J143" s="1265"/>
    </row>
    <row r="144" spans="1:12" ht="12" customHeight="1">
      <c r="A144" s="425">
        <v>2022</v>
      </c>
      <c r="B144" s="425"/>
      <c r="C144" s="419" t="s">
        <v>323</v>
      </c>
      <c r="D144" s="1329">
        <f>'T2 NSA'!D71</f>
        <v>0</v>
      </c>
      <c r="E144" s="1273"/>
      <c r="F144" s="1263"/>
      <c r="G144" s="1241">
        <v>0</v>
      </c>
      <c r="H144" s="1241">
        <v>0</v>
      </c>
      <c r="I144" s="1241">
        <v>0</v>
      </c>
      <c r="J144" s="1265"/>
    </row>
    <row r="145" spans="1:12" ht="12" customHeight="1">
      <c r="A145" s="425">
        <v>2023</v>
      </c>
      <c r="B145" s="425"/>
      <c r="C145" s="419" t="s">
        <v>324</v>
      </c>
      <c r="D145" s="1329">
        <f>'T2 NSA'!E71</f>
        <v>0</v>
      </c>
      <c r="E145" s="1273"/>
      <c r="F145" s="1263"/>
      <c r="G145" s="1299"/>
      <c r="H145" s="1241">
        <v>0</v>
      </c>
      <c r="I145" s="1241">
        <v>0</v>
      </c>
      <c r="J145" s="1260">
        <f t="shared" ref="J145:J146" si="19">D145-SUM(E145:I145)</f>
        <v>0</v>
      </c>
    </row>
    <row r="146" spans="1:12" ht="12" customHeight="1">
      <c r="A146" s="425">
        <v>2024</v>
      </c>
      <c r="B146" s="425"/>
      <c r="C146" s="421" t="s">
        <v>325</v>
      </c>
      <c r="D146" s="1330">
        <f>'T2 NSA'!F71</f>
        <v>0</v>
      </c>
      <c r="E146" s="1276"/>
      <c r="F146" s="1277"/>
      <c r="G146" s="1324"/>
      <c r="H146" s="1324"/>
      <c r="I146" s="1243">
        <v>0</v>
      </c>
      <c r="J146" s="1322">
        <f t="shared" si="19"/>
        <v>0</v>
      </c>
    </row>
    <row r="147" spans="1:12" ht="12" customHeight="1">
      <c r="A147" s="425" t="s">
        <v>237</v>
      </c>
      <c r="B147" s="425"/>
      <c r="C147" s="422" t="s">
        <v>326</v>
      </c>
      <c r="D147" s="1280">
        <f>SUM(D141:D146)</f>
        <v>0</v>
      </c>
      <c r="E147" s="1281">
        <f t="shared" ref="E147:J147" si="20">SUM(E141:E146)</f>
        <v>0</v>
      </c>
      <c r="F147" s="1282">
        <f t="shared" si="20"/>
        <v>0</v>
      </c>
      <c r="G147" s="1282">
        <f t="shared" si="20"/>
        <v>0</v>
      </c>
      <c r="H147" s="1282">
        <f t="shared" si="20"/>
        <v>0</v>
      </c>
      <c r="I147" s="1283">
        <f t="shared" si="20"/>
        <v>0</v>
      </c>
      <c r="J147" s="1280">
        <f t="shared" si="20"/>
        <v>0</v>
      </c>
    </row>
    <row r="148" spans="1:12" ht="4.3499999999999996" customHeight="1">
      <c r="A148" s="540"/>
      <c r="B148" s="540"/>
    </row>
    <row r="149" spans="1:12" ht="12" customHeight="1">
      <c r="A149" s="425">
        <v>2017</v>
      </c>
      <c r="B149" s="425"/>
      <c r="C149" s="417" t="s">
        <v>327</v>
      </c>
      <c r="D149" s="1240">
        <v>0</v>
      </c>
      <c r="E149" s="1255">
        <v>0</v>
      </c>
      <c r="F149" s="1332">
        <v>0</v>
      </c>
      <c r="G149" s="1239">
        <v>0</v>
      </c>
      <c r="H149" s="1239">
        <v>0</v>
      </c>
      <c r="I149" s="1240">
        <v>0</v>
      </c>
      <c r="J149" s="1333">
        <f>D149-SUM(E149:I149)</f>
        <v>0</v>
      </c>
    </row>
    <row r="150" spans="1:12" ht="12" customHeight="1">
      <c r="A150" s="425">
        <v>2018</v>
      </c>
      <c r="B150" s="425"/>
      <c r="C150" s="419" t="s">
        <v>328</v>
      </c>
      <c r="D150" s="1242">
        <v>0</v>
      </c>
      <c r="E150" s="1334">
        <v>0</v>
      </c>
      <c r="F150" s="1262">
        <v>0</v>
      </c>
      <c r="G150" s="1241">
        <v>0</v>
      </c>
      <c r="H150" s="1241">
        <v>0</v>
      </c>
      <c r="I150" s="1242">
        <v>0</v>
      </c>
      <c r="J150" s="1335">
        <f>D150-SUM(E150:I150)</f>
        <v>0</v>
      </c>
    </row>
    <row r="151" spans="1:12" ht="12" customHeight="1">
      <c r="A151" s="425">
        <v>2019</v>
      </c>
      <c r="B151" s="425"/>
      <c r="C151" s="419" t="s">
        <v>329</v>
      </c>
      <c r="D151" s="1244">
        <v>0</v>
      </c>
      <c r="E151" s="1334">
        <v>0</v>
      </c>
      <c r="F151" s="1262">
        <v>0</v>
      </c>
      <c r="G151" s="1243">
        <v>0</v>
      </c>
      <c r="H151" s="1243">
        <v>0</v>
      </c>
      <c r="I151" s="1244">
        <v>0</v>
      </c>
      <c r="J151" s="1335">
        <f>D151-SUM(E151:I151)</f>
        <v>0</v>
      </c>
    </row>
    <row r="152" spans="1:12" ht="12" customHeight="1">
      <c r="A152" s="425" t="s">
        <v>232</v>
      </c>
      <c r="B152" s="425"/>
      <c r="C152" s="556" t="s">
        <v>330</v>
      </c>
      <c r="D152" s="1336">
        <f>SUM(D149:D151)</f>
        <v>0</v>
      </c>
      <c r="E152" s="1337">
        <f>SUM(E149:E151)</f>
        <v>0</v>
      </c>
      <c r="F152" s="1338">
        <f t="shared" ref="F152:I152" si="21">SUM(F149:F151)</f>
        <v>0</v>
      </c>
      <c r="G152" s="1338">
        <f>SUM(G149:G151)</f>
        <v>0</v>
      </c>
      <c r="H152" s="1338">
        <f>SUM(H149:H151)</f>
        <v>0</v>
      </c>
      <c r="I152" s="1339">
        <f t="shared" si="21"/>
        <v>0</v>
      </c>
      <c r="J152" s="1336">
        <f>SUM(J149:J151)</f>
        <v>0</v>
      </c>
    </row>
    <row r="153" spans="1:12" ht="12" customHeight="1">
      <c r="A153" s="425" t="s">
        <v>500</v>
      </c>
      <c r="B153" s="425"/>
      <c r="C153" s="943"/>
      <c r="D153" s="1272"/>
      <c r="E153" s="1272"/>
      <c r="F153" s="1272"/>
      <c r="G153" s="1272"/>
      <c r="H153" s="1272"/>
      <c r="I153" s="1272"/>
      <c r="J153" s="1272"/>
      <c r="K153" s="425"/>
      <c r="L153" s="418"/>
    </row>
    <row r="154" spans="1:12" ht="12" customHeight="1">
      <c r="A154" s="425" t="s">
        <v>501</v>
      </c>
      <c r="B154" s="425"/>
      <c r="C154" s="419" t="s">
        <v>513</v>
      </c>
      <c r="D154" s="1340">
        <f>'T2 NSA'!C72</f>
        <v>0</v>
      </c>
      <c r="E154" s="1334">
        <v>0</v>
      </c>
      <c r="F154" s="1262">
        <v>0</v>
      </c>
      <c r="G154" s="1341">
        <v>0</v>
      </c>
      <c r="H154" s="1341">
        <v>0</v>
      </c>
      <c r="I154" s="1274"/>
      <c r="J154" s="1265"/>
    </row>
    <row r="155" spans="1:12" ht="12" customHeight="1">
      <c r="A155" s="425">
        <v>2022</v>
      </c>
      <c r="B155" s="425"/>
      <c r="C155" s="419" t="s">
        <v>331</v>
      </c>
      <c r="D155" s="1340">
        <f>'T2 NSA'!D72</f>
        <v>0</v>
      </c>
      <c r="E155" s="1273"/>
      <c r="F155" s="1263"/>
      <c r="G155" s="1341">
        <v>0</v>
      </c>
      <c r="H155" s="1341">
        <v>0</v>
      </c>
      <c r="I155" s="1341">
        <v>0</v>
      </c>
      <c r="J155" s="1265"/>
    </row>
    <row r="156" spans="1:12" ht="12" customHeight="1">
      <c r="A156" s="425">
        <v>2023</v>
      </c>
      <c r="B156" s="425"/>
      <c r="C156" s="419" t="s">
        <v>332</v>
      </c>
      <c r="D156" s="1340">
        <f>'T2 NSA'!E72</f>
        <v>0</v>
      </c>
      <c r="E156" s="1273"/>
      <c r="F156" s="1263"/>
      <c r="G156" s="1263"/>
      <c r="H156" s="1341">
        <v>0</v>
      </c>
      <c r="I156" s="1341">
        <v>0</v>
      </c>
      <c r="J156" s="1335">
        <f>D156-SUM(E156:I156)</f>
        <v>0</v>
      </c>
    </row>
    <row r="157" spans="1:12" ht="12" customHeight="1">
      <c r="A157" s="425">
        <v>2024</v>
      </c>
      <c r="B157" s="425"/>
      <c r="C157" s="421" t="s">
        <v>333</v>
      </c>
      <c r="D157" s="1342">
        <f>'T2 NSA'!F72</f>
        <v>0</v>
      </c>
      <c r="E157" s="1276"/>
      <c r="F157" s="1277"/>
      <c r="G157" s="1277"/>
      <c r="H157" s="1277"/>
      <c r="I157" s="1343">
        <v>0</v>
      </c>
      <c r="J157" s="1344">
        <f>D157-SUM(E157:I157)</f>
        <v>0</v>
      </c>
    </row>
    <row r="158" spans="1:12" ht="12" customHeight="1">
      <c r="A158" s="425" t="s">
        <v>237</v>
      </c>
      <c r="B158" s="425"/>
      <c r="C158" s="422" t="s">
        <v>334</v>
      </c>
      <c r="D158" s="1345">
        <f t="shared" ref="D158:J158" si="22">SUM(D152:D157)</f>
        <v>0</v>
      </c>
      <c r="E158" s="1346">
        <f t="shared" si="22"/>
        <v>0</v>
      </c>
      <c r="F158" s="1347">
        <f t="shared" si="22"/>
        <v>0</v>
      </c>
      <c r="G158" s="1347">
        <f t="shared" si="22"/>
        <v>0</v>
      </c>
      <c r="H158" s="1347">
        <f t="shared" si="22"/>
        <v>0</v>
      </c>
      <c r="I158" s="1348">
        <f t="shared" si="22"/>
        <v>0</v>
      </c>
      <c r="J158" s="1345">
        <f t="shared" si="22"/>
        <v>0</v>
      </c>
    </row>
    <row r="159" spans="1:12" ht="4.3499999999999996" customHeight="1">
      <c r="A159" s="540"/>
      <c r="B159" s="540"/>
    </row>
    <row r="160" spans="1:12" ht="12" customHeight="1">
      <c r="A160" s="425" t="s">
        <v>500</v>
      </c>
      <c r="B160" s="425"/>
      <c r="C160" s="944"/>
      <c r="D160" s="1297"/>
      <c r="E160" s="1297"/>
      <c r="F160" s="1297"/>
      <c r="G160" s="1297"/>
      <c r="H160" s="1297"/>
      <c r="I160" s="1297"/>
      <c r="J160" s="1297"/>
      <c r="K160" s="425"/>
      <c r="L160" s="418"/>
    </row>
    <row r="161" spans="1:12" ht="12" customHeight="1">
      <c r="A161" s="425" t="s">
        <v>501</v>
      </c>
      <c r="B161" s="425"/>
      <c r="C161" s="419" t="s">
        <v>512</v>
      </c>
      <c r="D161" s="1436">
        <f>'T2 NSA'!C63</f>
        <v>502.32736895759763</v>
      </c>
      <c r="E161" s="1273"/>
      <c r="F161" s="1263"/>
      <c r="G161" s="1299"/>
      <c r="H161" s="1439">
        <v>0</v>
      </c>
      <c r="I161" s="1440">
        <v>0</v>
      </c>
      <c r="J161" s="1442">
        <v>0</v>
      </c>
    </row>
    <row r="162" spans="1:12" ht="12" customHeight="1">
      <c r="A162" s="425">
        <v>2022</v>
      </c>
      <c r="B162" s="425"/>
      <c r="C162" s="419" t="s">
        <v>335</v>
      </c>
      <c r="D162" s="1260">
        <f>'T2 NSA'!D63</f>
        <v>0</v>
      </c>
      <c r="E162" s="1261"/>
      <c r="F162" s="1304"/>
      <c r="G162" s="1349"/>
      <c r="H162" s="1241">
        <v>0</v>
      </c>
      <c r="I162" s="1242">
        <v>0</v>
      </c>
      <c r="J162" s="1260">
        <f t="shared" ref="J162:J164" si="23">D162-SUM(E162:I162)</f>
        <v>0</v>
      </c>
    </row>
    <row r="163" spans="1:12" ht="12" customHeight="1">
      <c r="A163" s="425">
        <v>2023</v>
      </c>
      <c r="B163" s="425"/>
      <c r="C163" s="419" t="s">
        <v>336</v>
      </c>
      <c r="D163" s="1260">
        <f>'T2 NSA'!E63</f>
        <v>0</v>
      </c>
      <c r="E163" s="1261"/>
      <c r="F163" s="1304"/>
      <c r="G163" s="1349"/>
      <c r="H163" s="1349"/>
      <c r="I163" s="1242">
        <v>0</v>
      </c>
      <c r="J163" s="1260">
        <f t="shared" si="23"/>
        <v>0</v>
      </c>
    </row>
    <row r="164" spans="1:12" ht="12" customHeight="1">
      <c r="A164" s="425">
        <v>2024</v>
      </c>
      <c r="B164" s="425"/>
      <c r="C164" s="421" t="s">
        <v>337</v>
      </c>
      <c r="D164" s="1322">
        <f>'T2 NSA'!F63</f>
        <v>0</v>
      </c>
      <c r="E164" s="1307"/>
      <c r="F164" s="1308"/>
      <c r="G164" s="1350"/>
      <c r="H164" s="1350"/>
      <c r="I164" s="1350"/>
      <c r="J164" s="1306">
        <f t="shared" si="23"/>
        <v>0</v>
      </c>
    </row>
    <row r="165" spans="1:12" ht="12" customHeight="1">
      <c r="A165" s="425" t="s">
        <v>237</v>
      </c>
      <c r="B165" s="425"/>
      <c r="C165" s="559" t="s">
        <v>338</v>
      </c>
      <c r="D165" s="1280">
        <f>SUM(D160:D164)</f>
        <v>502.32736895759763</v>
      </c>
      <c r="E165" s="1281">
        <f t="shared" ref="E165:J165" si="24">SUM(E160:E164)</f>
        <v>0</v>
      </c>
      <c r="F165" s="1282">
        <f t="shared" si="24"/>
        <v>0</v>
      </c>
      <c r="G165" s="1282">
        <f t="shared" si="24"/>
        <v>0</v>
      </c>
      <c r="H165" s="1282">
        <f t="shared" si="24"/>
        <v>0</v>
      </c>
      <c r="I165" s="1283">
        <f t="shared" si="24"/>
        <v>0</v>
      </c>
      <c r="J165" s="1280">
        <f t="shared" si="24"/>
        <v>0</v>
      </c>
    </row>
    <row r="166" spans="1:12" ht="4.3499999999999996" customHeight="1">
      <c r="B166" s="425"/>
    </row>
    <row r="167" spans="1:12" ht="12" customHeight="1">
      <c r="A167" s="425" t="s">
        <v>500</v>
      </c>
      <c r="B167" s="425"/>
      <c r="C167" s="944"/>
      <c r="D167" s="1297"/>
      <c r="E167" s="1297"/>
      <c r="F167" s="1297"/>
      <c r="G167" s="1297"/>
      <c r="H167" s="1297"/>
      <c r="I167" s="1297"/>
      <c r="J167" s="1297"/>
      <c r="K167" s="425"/>
      <c r="L167" s="418"/>
    </row>
    <row r="168" spans="1:12" s="557" customFormat="1" ht="12" customHeight="1">
      <c r="A168" s="425" t="s">
        <v>501</v>
      </c>
      <c r="B168" s="425"/>
      <c r="C168" s="419" t="s">
        <v>511</v>
      </c>
      <c r="D168" s="1316"/>
      <c r="E168" s="1273"/>
      <c r="F168" s="1263"/>
      <c r="G168" s="1263"/>
      <c r="H168" s="1263"/>
      <c r="I168" s="1264"/>
      <c r="J168" s="1265"/>
      <c r="L168" s="558"/>
    </row>
    <row r="169" spans="1:12" s="557" customFormat="1" ht="12" customHeight="1">
      <c r="A169" s="425">
        <v>2022</v>
      </c>
      <c r="B169" s="425"/>
      <c r="C169" s="419" t="s">
        <v>347</v>
      </c>
      <c r="D169" s="1316"/>
      <c r="E169" s="1273"/>
      <c r="F169" s="1263"/>
      <c r="G169" s="1263"/>
      <c r="H169" s="1263"/>
      <c r="I169" s="1264"/>
      <c r="J169" s="1265"/>
      <c r="L169" s="558"/>
    </row>
    <row r="170" spans="1:12" s="557" customFormat="1" ht="12" customHeight="1">
      <c r="A170" s="425">
        <v>2023</v>
      </c>
      <c r="B170" s="425"/>
      <c r="C170" s="419" t="s">
        <v>348</v>
      </c>
      <c r="D170" s="1316"/>
      <c r="E170" s="1273"/>
      <c r="F170" s="1263"/>
      <c r="G170" s="1263"/>
      <c r="H170" s="1263"/>
      <c r="I170" s="1264"/>
      <c r="J170" s="1265"/>
      <c r="L170" s="558"/>
    </row>
    <row r="171" spans="1:12" s="557" customFormat="1" ht="12" customHeight="1">
      <c r="A171" s="425">
        <v>2024</v>
      </c>
      <c r="B171" s="425"/>
      <c r="C171" s="421" t="s">
        <v>349</v>
      </c>
      <c r="D171" s="1317"/>
      <c r="E171" s="1276"/>
      <c r="F171" s="1277"/>
      <c r="G171" s="1277"/>
      <c r="H171" s="1277"/>
      <c r="I171" s="1351"/>
      <c r="J171" s="1279"/>
      <c r="L171" s="558"/>
    </row>
    <row r="172" spans="1:12" s="557" customFormat="1" ht="12" customHeight="1">
      <c r="A172" s="425" t="s">
        <v>237</v>
      </c>
      <c r="B172" s="425"/>
      <c r="C172" s="559" t="s">
        <v>350</v>
      </c>
      <c r="D172" s="1294"/>
      <c r="E172" s="1352"/>
      <c r="F172" s="1292"/>
      <c r="G172" s="1292"/>
      <c r="H172" s="1292"/>
      <c r="I172" s="1353"/>
      <c r="J172" s="1294"/>
      <c r="L172" s="558"/>
    </row>
    <row r="173" spans="1:12" ht="4.3499999999999996" customHeight="1">
      <c r="B173" s="425"/>
      <c r="C173" s="426"/>
      <c r="D173" s="1354"/>
      <c r="E173" s="1354"/>
      <c r="F173" s="1355"/>
      <c r="G173" s="1354"/>
      <c r="H173" s="1354"/>
      <c r="I173" s="1354"/>
      <c r="J173" s="1354"/>
    </row>
    <row r="174" spans="1:12" ht="4.3499999999999996" customHeight="1">
      <c r="B174" s="425"/>
    </row>
    <row r="175" spans="1:12" ht="12" customHeight="1">
      <c r="B175" s="425"/>
      <c r="C175" s="422" t="s">
        <v>339</v>
      </c>
      <c r="D175" s="1280">
        <f>D17+D28+D35+D42+D49+D56+D63+D70+D75+D86+D97+D114+D125+D136+D147+D158+D165+D172</f>
        <v>1024.9354301241187</v>
      </c>
      <c r="E175" s="1356">
        <f t="shared" ref="E175:J175" si="25">E17+E28+E35+E42+E49+E56+E63+E70+E75+E86+E97+E114+E125+E136+E147+E158+E165+E172</f>
        <v>161.35753854460759</v>
      </c>
      <c r="F175" s="1282">
        <f t="shared" si="25"/>
        <v>189.49561689756487</v>
      </c>
      <c r="G175" s="1282">
        <f t="shared" si="25"/>
        <v>80.199500636495799</v>
      </c>
      <c r="H175" s="1282">
        <f t="shared" si="25"/>
        <v>91.555405087852819</v>
      </c>
      <c r="I175" s="1357">
        <f t="shared" si="25"/>
        <v>0</v>
      </c>
      <c r="J175" s="1280">
        <f t="shared" si="25"/>
        <v>0</v>
      </c>
      <c r="L175" s="418"/>
    </row>
    <row r="176" spans="1:12" ht="12" customHeight="1">
      <c r="B176" s="425"/>
    </row>
    <row r="177" spans="2:10" ht="12" customHeight="1">
      <c r="B177" s="425"/>
      <c r="C177" s="74" t="s">
        <v>340</v>
      </c>
      <c r="F177" s="1449" t="s">
        <v>726</v>
      </c>
      <c r="G177" s="1450"/>
      <c r="H177" s="1450"/>
      <c r="I177" s="1450"/>
      <c r="J177" s="1451"/>
    </row>
    <row r="178" spans="2:10" ht="12" customHeight="1">
      <c r="B178" s="425"/>
      <c r="C178" s="74" t="s">
        <v>341</v>
      </c>
      <c r="D178" s="1358"/>
      <c r="E178" s="1359"/>
      <c r="F178" s="1452" t="s">
        <v>727</v>
      </c>
      <c r="G178" s="1453"/>
      <c r="H178" s="1453"/>
      <c r="I178" s="1453"/>
      <c r="J178" s="1454"/>
    </row>
    <row r="179" spans="2:10" ht="12" customHeight="1">
      <c r="B179" s="425"/>
      <c r="C179" s="926" t="s">
        <v>547</v>
      </c>
    </row>
    <row r="183" spans="2:10">
      <c r="C183" s="1455" t="s">
        <v>728</v>
      </c>
      <c r="D183" s="1456">
        <f>D11+D22+D75+D80+D91+D102+D108+D119+D130+D141+D152</f>
        <v>522.60806116652111</v>
      </c>
      <c r="E183" s="1456">
        <f t="shared" ref="E183:J183" si="26">E11+E22+E75+E80+E91+E102+E108+E119+E130+E141+E152</f>
        <v>161.35753854460759</v>
      </c>
      <c r="F183" s="1456">
        <f t="shared" si="26"/>
        <v>189.49561689756487</v>
      </c>
      <c r="G183" s="1456">
        <f t="shared" si="26"/>
        <v>80.199500636495799</v>
      </c>
      <c r="H183" s="1456">
        <f t="shared" si="26"/>
        <v>91.555405087852819</v>
      </c>
      <c r="I183" s="1456">
        <f t="shared" si="26"/>
        <v>0</v>
      </c>
      <c r="J183" s="1456">
        <f t="shared" si="26"/>
        <v>0</v>
      </c>
    </row>
    <row r="184" spans="2:10">
      <c r="C184" s="1455" t="s">
        <v>729</v>
      </c>
      <c r="D184" s="1456">
        <f>D17-D11+D28-D22+D35+D42+D49+D56+D63+D70+D86-D80+D97-D91+D114-D108-D102+D125-D119+D136-D130+D147-D141+D158-D152+D165+D172</f>
        <v>502.32736895759763</v>
      </c>
      <c r="E184" s="1456">
        <f t="shared" ref="E184:J184" si="27">E17-E11+E28-E22+E35+E42+E49+E56+E63+E70+E86-E80+E97-E91+E114-E108-E102+E125-E119+E136-E130+E147-E141+E158-E152+E165+E172</f>
        <v>0</v>
      </c>
      <c r="F184" s="1456">
        <f t="shared" si="27"/>
        <v>0</v>
      </c>
      <c r="G184" s="1456">
        <f t="shared" si="27"/>
        <v>0</v>
      </c>
      <c r="H184" s="1456">
        <f t="shared" si="27"/>
        <v>0</v>
      </c>
      <c r="I184" s="1456">
        <f t="shared" si="27"/>
        <v>0</v>
      </c>
      <c r="J184" s="1456">
        <f t="shared" si="27"/>
        <v>0</v>
      </c>
    </row>
    <row r="185" spans="2:10">
      <c r="C185" s="1455" t="s">
        <v>339</v>
      </c>
      <c r="D185" s="1456">
        <f>SUM(D183:D184)</f>
        <v>1024.9354301241187</v>
      </c>
      <c r="E185" s="1456">
        <f t="shared" ref="E185:J185" si="28">SUM(E183:E184)</f>
        <v>161.35753854460759</v>
      </c>
      <c r="F185" s="1456">
        <f t="shared" si="28"/>
        <v>189.49561689756487</v>
      </c>
      <c r="G185" s="1456">
        <f t="shared" si="28"/>
        <v>80.199500636495799</v>
      </c>
      <c r="H185" s="1456">
        <f t="shared" si="28"/>
        <v>91.555405087852819</v>
      </c>
      <c r="I185" s="1456">
        <f t="shared" si="28"/>
        <v>0</v>
      </c>
      <c r="J185" s="1456">
        <f t="shared" si="28"/>
        <v>0</v>
      </c>
    </row>
  </sheetData>
  <autoFilter ref="A8:J172" xr:uid="{00000000-0009-0000-0000-000011000000}"/>
  <mergeCells count="1">
    <mergeCell ref="C1:J1"/>
  </mergeCells>
  <pageMargins left="0.7" right="0.7" top="0.75" bottom="0.75" header="0.3" footer="0.3"/>
  <pageSetup paperSize="9" scale="72"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1"/>
    <pageSetUpPr fitToPage="1"/>
  </sheetPr>
  <dimension ref="A1:V131"/>
  <sheetViews>
    <sheetView zoomScaleNormal="100" workbookViewId="0">
      <selection activeCell="C124" sqref="C124:R124"/>
    </sheetView>
  </sheetViews>
  <sheetFormatPr baseColWidth="10" defaultColWidth="8.7109375" defaultRowHeight="12"/>
  <cols>
    <col min="1" max="1" width="19" style="1137" customWidth="1"/>
    <col min="2" max="2" width="32" style="1137" customWidth="1"/>
    <col min="3" max="6" width="11.7109375" style="1137" customWidth="1"/>
    <col min="7" max="18" width="8.5703125" style="1137" customWidth="1"/>
    <col min="19" max="16384" width="8.7109375" style="1137"/>
  </cols>
  <sheetData>
    <row r="1" spans="1:22">
      <c r="A1" s="1543" t="s">
        <v>677</v>
      </c>
      <c r="B1" s="1543"/>
      <c r="C1" s="1543"/>
      <c r="D1" s="1543"/>
      <c r="E1" s="1543"/>
      <c r="F1" s="1543"/>
      <c r="G1" s="1543"/>
      <c r="H1" s="1543"/>
      <c r="I1" s="1543"/>
      <c r="J1" s="1543"/>
      <c r="K1" s="1543"/>
      <c r="L1" s="1543"/>
      <c r="M1" s="1543"/>
      <c r="N1" s="1543"/>
      <c r="O1" s="1543"/>
      <c r="P1" s="1543"/>
      <c r="Q1" s="1543"/>
      <c r="R1" s="1543"/>
      <c r="S1" s="1163"/>
      <c r="T1" s="1163"/>
      <c r="U1" s="1163"/>
      <c r="V1" s="1163"/>
    </row>
    <row r="3" spans="1:22">
      <c r="A3" s="1138" t="str">
        <f>'T1'!A3</f>
        <v>Norway - TCZ</v>
      </c>
      <c r="B3" s="967"/>
      <c r="C3" s="967"/>
      <c r="D3" s="967"/>
    </row>
    <row r="5" spans="1:22">
      <c r="A5" s="1137" t="s">
        <v>678</v>
      </c>
    </row>
    <row r="6" spans="1:22" ht="26.65" customHeight="1">
      <c r="A6" s="1544" t="s">
        <v>654</v>
      </c>
      <c r="B6" s="1546" t="s">
        <v>655</v>
      </c>
      <c r="C6" s="1548" t="s">
        <v>656</v>
      </c>
      <c r="D6" s="1549"/>
      <c r="E6" s="1550" t="s">
        <v>657</v>
      </c>
      <c r="F6" s="1549"/>
      <c r="G6" s="1551" t="s">
        <v>658</v>
      </c>
      <c r="H6" s="1552" t="s">
        <v>659</v>
      </c>
      <c r="I6" s="1553"/>
      <c r="J6" s="1553"/>
      <c r="K6" s="1553"/>
      <c r="L6" s="1553"/>
      <c r="M6" s="1553"/>
      <c r="N6" s="1553"/>
      <c r="O6" s="1553"/>
      <c r="P6" s="1553"/>
      <c r="Q6" s="1553"/>
      <c r="R6" s="1538"/>
    </row>
    <row r="7" spans="1:22" ht="28.15" customHeight="1">
      <c r="A7" s="1545"/>
      <c r="B7" s="1547"/>
      <c r="C7" s="1169" t="s">
        <v>237</v>
      </c>
      <c r="D7" s="1170" t="s">
        <v>660</v>
      </c>
      <c r="E7" s="1171" t="s">
        <v>237</v>
      </c>
      <c r="F7" s="1170" t="s">
        <v>660</v>
      </c>
      <c r="G7" s="1551" t="s">
        <v>661</v>
      </c>
      <c r="H7" s="1172">
        <v>2014</v>
      </c>
      <c r="I7" s="1173">
        <v>2015</v>
      </c>
      <c r="J7" s="1173">
        <v>2016</v>
      </c>
      <c r="K7" s="1173">
        <v>2017</v>
      </c>
      <c r="L7" s="1173">
        <v>2018</v>
      </c>
      <c r="M7" s="1173">
        <v>2019</v>
      </c>
      <c r="N7" s="1173">
        <v>2020</v>
      </c>
      <c r="O7" s="1173">
        <v>2021</v>
      </c>
      <c r="P7" s="1173">
        <v>2022</v>
      </c>
      <c r="Q7" s="1173">
        <v>2023</v>
      </c>
      <c r="R7" s="1174">
        <v>2024</v>
      </c>
    </row>
    <row r="8" spans="1:22" s="1176" customFormat="1">
      <c r="A8" s="1210" t="s">
        <v>679</v>
      </c>
      <c r="B8" s="1211" t="s">
        <v>680</v>
      </c>
      <c r="C8" s="1212">
        <v>0</v>
      </c>
      <c r="D8" s="1213">
        <v>0</v>
      </c>
      <c r="E8" s="1214">
        <v>0</v>
      </c>
      <c r="F8" s="1213">
        <v>0</v>
      </c>
      <c r="G8" s="1215" t="s">
        <v>681</v>
      </c>
      <c r="H8" s="1212">
        <v>0</v>
      </c>
      <c r="I8" s="1216">
        <v>0</v>
      </c>
      <c r="J8" s="1216">
        <v>0</v>
      </c>
      <c r="K8" s="1216">
        <v>0</v>
      </c>
      <c r="L8" s="1216">
        <v>0</v>
      </c>
      <c r="M8" s="1195">
        <v>0</v>
      </c>
      <c r="N8" s="1195">
        <v>0</v>
      </c>
      <c r="O8" s="1195"/>
      <c r="P8" s="1195"/>
      <c r="Q8" s="1195"/>
      <c r="R8" s="1213"/>
    </row>
    <row r="9" spans="1:22">
      <c r="A9" s="1179" t="s">
        <v>682</v>
      </c>
      <c r="B9" s="1180" t="s">
        <v>680</v>
      </c>
      <c r="C9" s="1217">
        <v>0</v>
      </c>
      <c r="D9" s="1218">
        <v>0</v>
      </c>
      <c r="E9" s="1219">
        <v>0</v>
      </c>
      <c r="F9" s="1218">
        <v>0</v>
      </c>
      <c r="G9" s="1220" t="s">
        <v>681</v>
      </c>
      <c r="H9" s="1217">
        <v>0</v>
      </c>
      <c r="I9" s="1221">
        <v>0</v>
      </c>
      <c r="J9" s="1221">
        <v>0</v>
      </c>
      <c r="K9" s="1221">
        <v>0</v>
      </c>
      <c r="L9" s="1221">
        <v>0</v>
      </c>
      <c r="M9" s="1177">
        <v>0</v>
      </c>
      <c r="N9" s="1177">
        <v>0</v>
      </c>
      <c r="O9" s="1177"/>
      <c r="P9" s="1177"/>
      <c r="Q9" s="1177"/>
      <c r="R9" s="1218"/>
    </row>
    <row r="10" spans="1:22">
      <c r="A10" s="1179" t="s">
        <v>683</v>
      </c>
      <c r="B10" s="1180" t="s">
        <v>680</v>
      </c>
      <c r="C10" s="1217">
        <v>0</v>
      </c>
      <c r="D10" s="1218">
        <v>0</v>
      </c>
      <c r="E10" s="1219">
        <v>0</v>
      </c>
      <c r="F10" s="1218">
        <v>0</v>
      </c>
      <c r="G10" s="1220" t="s">
        <v>681</v>
      </c>
      <c r="H10" s="1217">
        <v>0</v>
      </c>
      <c r="I10" s="1221">
        <v>0</v>
      </c>
      <c r="J10" s="1221">
        <v>0</v>
      </c>
      <c r="K10" s="1221">
        <v>0</v>
      </c>
      <c r="L10" s="1221">
        <v>0</v>
      </c>
      <c r="M10" s="1177">
        <v>0</v>
      </c>
      <c r="N10" s="1177">
        <v>0</v>
      </c>
      <c r="O10" s="1177"/>
      <c r="P10" s="1177"/>
      <c r="Q10" s="1177"/>
      <c r="R10" s="1218"/>
    </row>
    <row r="11" spans="1:22">
      <c r="A11" s="1179" t="s">
        <v>684</v>
      </c>
      <c r="B11" s="1180" t="s">
        <v>680</v>
      </c>
      <c r="C11" s="1217">
        <v>0</v>
      </c>
      <c r="D11" s="1218">
        <v>0</v>
      </c>
      <c r="E11" s="1219">
        <v>0</v>
      </c>
      <c r="F11" s="1218">
        <v>0</v>
      </c>
      <c r="G11" s="1220" t="s">
        <v>681</v>
      </c>
      <c r="H11" s="1217">
        <v>0</v>
      </c>
      <c r="I11" s="1221">
        <v>0</v>
      </c>
      <c r="J11" s="1221">
        <v>0</v>
      </c>
      <c r="K11" s="1221">
        <v>0</v>
      </c>
      <c r="L11" s="1221">
        <v>0</v>
      </c>
      <c r="M11" s="1177">
        <v>0</v>
      </c>
      <c r="N11" s="1177">
        <v>0</v>
      </c>
      <c r="O11" s="1177"/>
      <c r="P11" s="1177"/>
      <c r="Q11" s="1177"/>
      <c r="R11" s="1218"/>
    </row>
    <row r="12" spans="1:22">
      <c r="A12" s="1179"/>
      <c r="B12" s="1180"/>
      <c r="C12" s="1179"/>
      <c r="D12" s="1196"/>
      <c r="E12" s="1219"/>
      <c r="F12" s="1218"/>
      <c r="G12" s="1220"/>
      <c r="H12" s="1217"/>
      <c r="I12" s="1221"/>
      <c r="J12" s="1221"/>
      <c r="K12" s="1221"/>
      <c r="L12" s="1221"/>
      <c r="M12" s="1177"/>
      <c r="N12" s="1177"/>
      <c r="O12" s="1177"/>
      <c r="P12" s="1177"/>
      <c r="Q12" s="1177"/>
      <c r="R12" s="1218"/>
    </row>
    <row r="13" spans="1:22">
      <c r="A13" s="1179"/>
      <c r="B13" s="1180"/>
      <c r="C13" s="1179"/>
      <c r="D13" s="1196"/>
      <c r="E13" s="1219"/>
      <c r="F13" s="1218"/>
      <c r="G13" s="1220"/>
      <c r="H13" s="1217"/>
      <c r="I13" s="1221"/>
      <c r="J13" s="1221"/>
      <c r="K13" s="1221"/>
      <c r="L13" s="1221"/>
      <c r="M13" s="1177"/>
      <c r="N13" s="1177"/>
      <c r="O13" s="1177"/>
      <c r="P13" s="1177"/>
      <c r="Q13" s="1177"/>
      <c r="R13" s="1218"/>
    </row>
    <row r="14" spans="1:22" ht="12.6" customHeight="1">
      <c r="A14" s="1179"/>
      <c r="B14" s="1180"/>
      <c r="C14" s="1179"/>
      <c r="D14" s="1196"/>
      <c r="E14" s="1219"/>
      <c r="F14" s="1218"/>
      <c r="G14" s="1220"/>
      <c r="H14" s="1217"/>
      <c r="I14" s="1221"/>
      <c r="J14" s="1221"/>
      <c r="K14" s="1221"/>
      <c r="L14" s="1221"/>
      <c r="M14" s="1177"/>
      <c r="N14" s="1177"/>
      <c r="O14" s="1177"/>
      <c r="P14" s="1177"/>
      <c r="Q14" s="1177"/>
      <c r="R14" s="1218"/>
    </row>
    <row r="15" spans="1:22">
      <c r="A15" s="1179"/>
      <c r="B15" s="1180"/>
      <c r="C15" s="1179"/>
      <c r="D15" s="1196"/>
      <c r="E15" s="1219"/>
      <c r="F15" s="1218"/>
      <c r="G15" s="1220"/>
      <c r="H15" s="1217"/>
      <c r="I15" s="1221"/>
      <c r="J15" s="1221"/>
      <c r="K15" s="1221"/>
      <c r="L15" s="1221"/>
      <c r="M15" s="1177"/>
      <c r="N15" s="1177"/>
      <c r="O15" s="1177"/>
      <c r="P15" s="1177"/>
      <c r="Q15" s="1177"/>
      <c r="R15" s="1218"/>
    </row>
    <row r="16" spans="1:22">
      <c r="A16" s="1179"/>
      <c r="B16" s="1180"/>
      <c r="C16" s="1179"/>
      <c r="D16" s="1196"/>
      <c r="E16" s="1219"/>
      <c r="F16" s="1218"/>
      <c r="G16" s="1220"/>
      <c r="H16" s="1217"/>
      <c r="I16" s="1221"/>
      <c r="J16" s="1221"/>
      <c r="K16" s="1221"/>
      <c r="L16" s="1221"/>
      <c r="M16" s="1177"/>
      <c r="N16" s="1177"/>
      <c r="O16" s="1177"/>
      <c r="P16" s="1177"/>
      <c r="Q16" s="1177"/>
      <c r="R16" s="1218"/>
    </row>
    <row r="17" spans="1:18">
      <c r="A17" s="1179"/>
      <c r="B17" s="1180"/>
      <c r="C17" s="1179"/>
      <c r="D17" s="1196"/>
      <c r="E17" s="1219"/>
      <c r="F17" s="1218"/>
      <c r="G17" s="1220"/>
      <c r="H17" s="1217"/>
      <c r="I17" s="1221"/>
      <c r="J17" s="1221"/>
      <c r="K17" s="1221"/>
      <c r="L17" s="1221"/>
      <c r="M17" s="1177"/>
      <c r="N17" s="1177"/>
      <c r="O17" s="1177"/>
      <c r="P17" s="1177"/>
      <c r="Q17" s="1177"/>
      <c r="R17" s="1218"/>
    </row>
    <row r="18" spans="1:18">
      <c r="A18" s="1222"/>
      <c r="B18" s="1223"/>
      <c r="C18" s="1222"/>
      <c r="D18" s="1224"/>
      <c r="E18" s="1225"/>
      <c r="F18" s="1226"/>
      <c r="G18" s="1227"/>
      <c r="H18" s="1228"/>
      <c r="I18" s="1229"/>
      <c r="J18" s="1229"/>
      <c r="K18" s="1229"/>
      <c r="L18" s="1229"/>
      <c r="M18" s="1230"/>
      <c r="N18" s="1230"/>
      <c r="O18" s="1230"/>
      <c r="P18" s="1230"/>
      <c r="Q18" s="1230"/>
      <c r="R18" s="1226"/>
    </row>
    <row r="19" spans="1:18" ht="14.65" hidden="1" customHeight="1">
      <c r="A19" s="1183"/>
      <c r="B19" s="1184"/>
      <c r="C19" s="1183"/>
      <c r="D19" s="1183"/>
      <c r="E19" s="1185"/>
      <c r="F19" s="1182"/>
      <c r="G19" s="1182"/>
      <c r="H19" s="1186"/>
      <c r="I19" s="1182"/>
      <c r="J19" s="1182"/>
      <c r="K19" s="1182"/>
      <c r="L19" s="1182"/>
      <c r="M19" s="1182"/>
      <c r="N19" s="1182"/>
      <c r="O19" s="1182"/>
      <c r="P19" s="1182"/>
      <c r="Q19" s="1182"/>
      <c r="R19" s="1182"/>
    </row>
    <row r="20" spans="1:18" ht="14.65" hidden="1" customHeight="1">
      <c r="A20" s="1139"/>
      <c r="B20" s="1187"/>
      <c r="C20" s="1139"/>
      <c r="D20" s="1139"/>
      <c r="E20" s="1188"/>
      <c r="F20" s="1140"/>
      <c r="G20" s="1140"/>
      <c r="H20" s="1189"/>
      <c r="I20" s="1140"/>
      <c r="J20" s="1140"/>
      <c r="K20" s="1140"/>
      <c r="L20" s="1140"/>
      <c r="M20" s="1140"/>
      <c r="N20" s="1140"/>
      <c r="O20" s="1140"/>
      <c r="P20" s="1140"/>
      <c r="Q20" s="1140"/>
      <c r="R20" s="1140"/>
    </row>
    <row r="21" spans="1:18" ht="14.65" hidden="1" customHeight="1">
      <c r="A21" s="1139"/>
      <c r="B21" s="1187"/>
      <c r="C21" s="1139"/>
      <c r="D21" s="1139"/>
      <c r="E21" s="1188"/>
      <c r="F21" s="1140"/>
      <c r="G21" s="1140"/>
      <c r="H21" s="1189"/>
      <c r="I21" s="1140"/>
      <c r="J21" s="1140"/>
      <c r="K21" s="1140"/>
      <c r="L21" s="1140"/>
      <c r="M21" s="1140"/>
      <c r="N21" s="1140"/>
      <c r="O21" s="1140"/>
      <c r="P21" s="1140"/>
      <c r="Q21" s="1140"/>
      <c r="R21" s="1140"/>
    </row>
    <row r="22" spans="1:18" ht="14.65" hidden="1" customHeight="1">
      <c r="A22" s="1139"/>
      <c r="B22" s="1187"/>
      <c r="C22" s="1139"/>
      <c r="D22" s="1139"/>
      <c r="E22" s="1188"/>
      <c r="F22" s="1140"/>
      <c r="G22" s="1140"/>
      <c r="H22" s="1189"/>
      <c r="I22" s="1140"/>
      <c r="J22" s="1140"/>
      <c r="K22" s="1140"/>
      <c r="L22" s="1140"/>
      <c r="M22" s="1140"/>
      <c r="N22" s="1140"/>
      <c r="O22" s="1140"/>
      <c r="P22" s="1140"/>
      <c r="Q22" s="1140"/>
      <c r="R22" s="1140"/>
    </row>
    <row r="23" spans="1:18" ht="14.65" hidden="1" customHeight="1">
      <c r="A23" s="1139"/>
      <c r="B23" s="1187"/>
      <c r="C23" s="1139"/>
      <c r="D23" s="1139"/>
      <c r="E23" s="1188"/>
      <c r="F23" s="1140"/>
      <c r="G23" s="1140"/>
      <c r="H23" s="1189"/>
      <c r="I23" s="1140"/>
      <c r="J23" s="1140"/>
      <c r="K23" s="1140"/>
      <c r="L23" s="1140"/>
      <c r="M23" s="1140"/>
      <c r="N23" s="1140"/>
      <c r="O23" s="1140"/>
      <c r="P23" s="1140"/>
      <c r="Q23" s="1140"/>
      <c r="R23" s="1140"/>
    </row>
    <row r="24" spans="1:18" ht="14.65" hidden="1" customHeight="1">
      <c r="A24" s="1139"/>
      <c r="B24" s="1187"/>
      <c r="C24" s="1139"/>
      <c r="D24" s="1139"/>
      <c r="E24" s="1188"/>
      <c r="F24" s="1140"/>
      <c r="G24" s="1140"/>
      <c r="H24" s="1189"/>
      <c r="I24" s="1140"/>
      <c r="J24" s="1140"/>
      <c r="K24" s="1140"/>
      <c r="L24" s="1140"/>
      <c r="M24" s="1140"/>
      <c r="N24" s="1140"/>
      <c r="O24" s="1140"/>
      <c r="P24" s="1140"/>
      <c r="Q24" s="1140"/>
      <c r="R24" s="1140"/>
    </row>
    <row r="25" spans="1:18" ht="14.65" hidden="1" customHeight="1">
      <c r="A25" s="1139"/>
      <c r="B25" s="1187"/>
      <c r="C25" s="1139"/>
      <c r="D25" s="1139"/>
      <c r="E25" s="1188"/>
      <c r="F25" s="1140"/>
      <c r="G25" s="1140"/>
      <c r="H25" s="1189"/>
      <c r="I25" s="1140"/>
      <c r="J25" s="1140"/>
      <c r="K25" s="1140"/>
      <c r="L25" s="1140"/>
      <c r="M25" s="1140"/>
      <c r="N25" s="1140"/>
      <c r="O25" s="1140"/>
      <c r="P25" s="1140"/>
      <c r="Q25" s="1140"/>
      <c r="R25" s="1140"/>
    </row>
    <row r="26" spans="1:18" ht="14.65" hidden="1" customHeight="1">
      <c r="A26" s="1139"/>
      <c r="B26" s="1187"/>
      <c r="C26" s="1139"/>
      <c r="D26" s="1139"/>
      <c r="E26" s="1188"/>
      <c r="F26" s="1140"/>
      <c r="G26" s="1140"/>
      <c r="H26" s="1189"/>
      <c r="I26" s="1140"/>
      <c r="J26" s="1140"/>
      <c r="K26" s="1140"/>
      <c r="L26" s="1140"/>
      <c r="M26" s="1140"/>
      <c r="N26" s="1140"/>
      <c r="O26" s="1140"/>
      <c r="P26" s="1140"/>
      <c r="Q26" s="1140"/>
      <c r="R26" s="1140"/>
    </row>
    <row r="27" spans="1:18" ht="14.65" hidden="1" customHeight="1">
      <c r="A27" s="1139"/>
      <c r="B27" s="1187"/>
      <c r="C27" s="1139"/>
      <c r="D27" s="1139"/>
      <c r="E27" s="1188"/>
      <c r="F27" s="1140"/>
      <c r="G27" s="1140"/>
      <c r="H27" s="1189"/>
      <c r="I27" s="1140"/>
      <c r="J27" s="1140"/>
      <c r="K27" s="1140"/>
      <c r="L27" s="1140"/>
      <c r="M27" s="1140"/>
      <c r="N27" s="1140"/>
      <c r="O27" s="1140"/>
      <c r="P27" s="1140"/>
      <c r="Q27" s="1140"/>
      <c r="R27" s="1140"/>
    </row>
    <row r="28" spans="1:18" ht="14.65" hidden="1" customHeight="1">
      <c r="A28" s="1139"/>
      <c r="B28" s="1187"/>
      <c r="C28" s="1139"/>
      <c r="D28" s="1139"/>
      <c r="E28" s="1188"/>
      <c r="F28" s="1140"/>
      <c r="G28" s="1140"/>
      <c r="H28" s="1189"/>
      <c r="I28" s="1140"/>
      <c r="J28" s="1140"/>
      <c r="K28" s="1140"/>
      <c r="L28" s="1140"/>
      <c r="M28" s="1140"/>
      <c r="N28" s="1140"/>
      <c r="O28" s="1140"/>
      <c r="P28" s="1140"/>
      <c r="Q28" s="1140"/>
      <c r="R28" s="1140"/>
    </row>
    <row r="29" spans="1:18" ht="14.65" hidden="1" customHeight="1">
      <c r="A29" s="1139"/>
      <c r="B29" s="1187"/>
      <c r="C29" s="1139"/>
      <c r="D29" s="1139"/>
      <c r="E29" s="1188"/>
      <c r="F29" s="1140"/>
      <c r="G29" s="1140"/>
      <c r="H29" s="1189"/>
      <c r="I29" s="1140"/>
      <c r="J29" s="1140"/>
      <c r="K29" s="1140"/>
      <c r="L29" s="1140"/>
      <c r="M29" s="1140"/>
      <c r="N29" s="1140"/>
      <c r="O29" s="1140"/>
      <c r="P29" s="1140"/>
      <c r="Q29" s="1140"/>
      <c r="R29" s="1140"/>
    </row>
    <row r="30" spans="1:18" ht="14.65" hidden="1" customHeight="1">
      <c r="A30" s="1139"/>
      <c r="B30" s="1187"/>
      <c r="C30" s="1139"/>
      <c r="D30" s="1139"/>
      <c r="E30" s="1188"/>
      <c r="F30" s="1140"/>
      <c r="G30" s="1140"/>
      <c r="H30" s="1189"/>
      <c r="I30" s="1140"/>
      <c r="J30" s="1140"/>
      <c r="K30" s="1140"/>
      <c r="L30" s="1140"/>
      <c r="M30" s="1140"/>
      <c r="N30" s="1140"/>
      <c r="O30" s="1140"/>
      <c r="P30" s="1140"/>
      <c r="Q30" s="1140"/>
      <c r="R30" s="1140"/>
    </row>
    <row r="31" spans="1:18" ht="14.65" hidden="1" customHeight="1">
      <c r="A31" s="1139"/>
      <c r="B31" s="1187"/>
      <c r="C31" s="1139"/>
      <c r="D31" s="1139"/>
      <c r="E31" s="1188"/>
      <c r="F31" s="1140"/>
      <c r="G31" s="1140"/>
      <c r="H31" s="1189"/>
      <c r="I31" s="1140"/>
      <c r="J31" s="1140"/>
      <c r="K31" s="1140"/>
      <c r="L31" s="1140"/>
      <c r="M31" s="1140"/>
      <c r="N31" s="1140"/>
      <c r="O31" s="1140"/>
      <c r="P31" s="1140"/>
      <c r="Q31" s="1140"/>
      <c r="R31" s="1140"/>
    </row>
    <row r="32" spans="1:18" ht="14.65" hidden="1" customHeight="1">
      <c r="A32" s="1139"/>
      <c r="B32" s="1187"/>
      <c r="C32" s="1139"/>
      <c r="D32" s="1139"/>
      <c r="E32" s="1188"/>
      <c r="F32" s="1140"/>
      <c r="G32" s="1140"/>
      <c r="H32" s="1189"/>
      <c r="I32" s="1140"/>
      <c r="J32" s="1140"/>
      <c r="K32" s="1140"/>
      <c r="L32" s="1140"/>
      <c r="M32" s="1140"/>
      <c r="N32" s="1140"/>
      <c r="O32" s="1140"/>
      <c r="P32" s="1140"/>
      <c r="Q32" s="1140"/>
      <c r="R32" s="1140"/>
    </row>
    <row r="33" spans="1:18" ht="14.65" hidden="1" customHeight="1">
      <c r="A33" s="1139"/>
      <c r="B33" s="1187"/>
      <c r="C33" s="1139"/>
      <c r="D33" s="1139"/>
      <c r="E33" s="1188"/>
      <c r="F33" s="1140"/>
      <c r="G33" s="1140"/>
      <c r="H33" s="1189"/>
      <c r="I33" s="1140"/>
      <c r="J33" s="1140"/>
      <c r="K33" s="1140"/>
      <c r="L33" s="1140"/>
      <c r="M33" s="1140"/>
      <c r="N33" s="1140"/>
      <c r="O33" s="1140"/>
      <c r="P33" s="1140"/>
      <c r="Q33" s="1140"/>
      <c r="R33" s="1140"/>
    </row>
    <row r="34" spans="1:18" ht="14.65" hidden="1" customHeight="1">
      <c r="A34" s="1139"/>
      <c r="B34" s="1187"/>
      <c r="C34" s="1139"/>
      <c r="D34" s="1139"/>
      <c r="E34" s="1188"/>
      <c r="F34" s="1140"/>
      <c r="G34" s="1140"/>
      <c r="H34" s="1189"/>
      <c r="I34" s="1140"/>
      <c r="J34" s="1140"/>
      <c r="K34" s="1140"/>
      <c r="L34" s="1140"/>
      <c r="M34" s="1140"/>
      <c r="N34" s="1140"/>
      <c r="O34" s="1140"/>
      <c r="P34" s="1140"/>
      <c r="Q34" s="1140"/>
      <c r="R34" s="1140"/>
    </row>
    <row r="35" spans="1:18" ht="14.65" hidden="1" customHeight="1">
      <c r="A35" s="1139"/>
      <c r="B35" s="1187"/>
      <c r="C35" s="1139"/>
      <c r="D35" s="1139"/>
      <c r="E35" s="1188"/>
      <c r="F35" s="1140"/>
      <c r="G35" s="1140"/>
      <c r="H35" s="1189"/>
      <c r="I35" s="1140"/>
      <c r="J35" s="1140"/>
      <c r="K35" s="1140"/>
      <c r="L35" s="1140"/>
      <c r="M35" s="1140"/>
      <c r="N35" s="1140"/>
      <c r="O35" s="1140"/>
      <c r="P35" s="1140"/>
      <c r="Q35" s="1140"/>
      <c r="R35" s="1140"/>
    </row>
    <row r="36" spans="1:18" ht="14.65" hidden="1" customHeight="1">
      <c r="A36" s="1139"/>
      <c r="B36" s="1187"/>
      <c r="C36" s="1139"/>
      <c r="D36" s="1139"/>
      <c r="E36" s="1188"/>
      <c r="F36" s="1140"/>
      <c r="G36" s="1140"/>
      <c r="H36" s="1189"/>
      <c r="I36" s="1140"/>
      <c r="J36" s="1140"/>
      <c r="K36" s="1140"/>
      <c r="L36" s="1140"/>
      <c r="M36" s="1140"/>
      <c r="N36" s="1140"/>
      <c r="O36" s="1140"/>
      <c r="P36" s="1140"/>
      <c r="Q36" s="1140"/>
      <c r="R36" s="1140"/>
    </row>
    <row r="37" spans="1:18" ht="14.65" hidden="1" customHeight="1">
      <c r="A37" s="1139"/>
      <c r="B37" s="1187"/>
      <c r="C37" s="1139"/>
      <c r="D37" s="1139"/>
      <c r="E37" s="1188"/>
      <c r="F37" s="1140"/>
      <c r="G37" s="1140"/>
      <c r="H37" s="1189"/>
      <c r="I37" s="1140"/>
      <c r="J37" s="1140"/>
      <c r="K37" s="1140"/>
      <c r="L37" s="1140"/>
      <c r="M37" s="1140"/>
      <c r="N37" s="1140"/>
      <c r="O37" s="1140"/>
      <c r="P37" s="1140"/>
      <c r="Q37" s="1140"/>
      <c r="R37" s="1140"/>
    </row>
    <row r="38" spans="1:18" ht="14.65" hidden="1" customHeight="1">
      <c r="A38" s="1139"/>
      <c r="B38" s="1187"/>
      <c r="C38" s="1139"/>
      <c r="D38" s="1139"/>
      <c r="E38" s="1188"/>
      <c r="F38" s="1140"/>
      <c r="G38" s="1140"/>
      <c r="H38" s="1189"/>
      <c r="I38" s="1140"/>
      <c r="J38" s="1140"/>
      <c r="K38" s="1140"/>
      <c r="L38" s="1140"/>
      <c r="M38" s="1140"/>
      <c r="N38" s="1140"/>
      <c r="O38" s="1140"/>
      <c r="P38" s="1140"/>
      <c r="Q38" s="1140"/>
      <c r="R38" s="1140"/>
    </row>
    <row r="39" spans="1:18" ht="14.65" hidden="1" customHeight="1">
      <c r="A39" s="1139"/>
      <c r="B39" s="1187"/>
      <c r="C39" s="1139"/>
      <c r="D39" s="1139"/>
      <c r="E39" s="1188"/>
      <c r="F39" s="1140"/>
      <c r="G39" s="1140"/>
      <c r="H39" s="1189"/>
      <c r="I39" s="1140"/>
      <c r="J39" s="1140"/>
      <c r="K39" s="1140"/>
      <c r="L39" s="1140"/>
      <c r="M39" s="1140"/>
      <c r="N39" s="1140"/>
      <c r="O39" s="1140"/>
      <c r="P39" s="1140"/>
      <c r="Q39" s="1140"/>
      <c r="R39" s="1140"/>
    </row>
    <row r="40" spans="1:18" ht="14.65" hidden="1" customHeight="1">
      <c r="A40" s="1139"/>
      <c r="B40" s="1187"/>
      <c r="C40" s="1139"/>
      <c r="D40" s="1139"/>
      <c r="E40" s="1188"/>
      <c r="F40" s="1140"/>
      <c r="G40" s="1140"/>
      <c r="H40" s="1189"/>
      <c r="I40" s="1140"/>
      <c r="J40" s="1140"/>
      <c r="K40" s="1140"/>
      <c r="L40" s="1140"/>
      <c r="M40" s="1140"/>
      <c r="N40" s="1140"/>
      <c r="O40" s="1140"/>
      <c r="P40" s="1140"/>
      <c r="Q40" s="1140"/>
      <c r="R40" s="1140"/>
    </row>
    <row r="41" spans="1:18" ht="14.65" hidden="1" customHeight="1">
      <c r="A41" s="1139"/>
      <c r="B41" s="1187"/>
      <c r="C41" s="1139"/>
      <c r="D41" s="1139"/>
      <c r="E41" s="1188"/>
      <c r="F41" s="1140"/>
      <c r="G41" s="1140"/>
      <c r="H41" s="1189"/>
      <c r="I41" s="1140"/>
      <c r="J41" s="1140"/>
      <c r="K41" s="1140"/>
      <c r="L41" s="1140"/>
      <c r="M41" s="1140"/>
      <c r="N41" s="1140"/>
      <c r="O41" s="1140"/>
      <c r="P41" s="1140"/>
      <c r="Q41" s="1140"/>
      <c r="R41" s="1140"/>
    </row>
    <row r="42" spans="1:18" ht="14.65" hidden="1" customHeight="1">
      <c r="A42" s="1139"/>
      <c r="B42" s="1187"/>
      <c r="C42" s="1139"/>
      <c r="D42" s="1139"/>
      <c r="E42" s="1188"/>
      <c r="F42" s="1140"/>
      <c r="G42" s="1140"/>
      <c r="H42" s="1189"/>
      <c r="I42" s="1140"/>
      <c r="J42" s="1140"/>
      <c r="K42" s="1140"/>
      <c r="L42" s="1140"/>
      <c r="M42" s="1140"/>
      <c r="N42" s="1140"/>
      <c r="O42" s="1140"/>
      <c r="P42" s="1140"/>
      <c r="Q42" s="1140"/>
      <c r="R42" s="1140"/>
    </row>
    <row r="43" spans="1:18" ht="14.65" hidden="1" customHeight="1">
      <c r="A43" s="1139"/>
      <c r="B43" s="1187"/>
      <c r="C43" s="1139"/>
      <c r="D43" s="1139"/>
      <c r="E43" s="1188"/>
      <c r="F43" s="1140"/>
      <c r="G43" s="1140"/>
      <c r="H43" s="1189"/>
      <c r="I43" s="1140"/>
      <c r="J43" s="1140"/>
      <c r="K43" s="1140"/>
      <c r="L43" s="1140"/>
      <c r="M43" s="1140"/>
      <c r="N43" s="1140"/>
      <c r="O43" s="1140"/>
      <c r="P43" s="1140"/>
      <c r="Q43" s="1140"/>
      <c r="R43" s="1140"/>
    </row>
    <row r="44" spans="1:18" ht="14.65" hidden="1" customHeight="1">
      <c r="A44" s="1139"/>
      <c r="B44" s="1187"/>
      <c r="C44" s="1139"/>
      <c r="D44" s="1139"/>
      <c r="E44" s="1188"/>
      <c r="F44" s="1140"/>
      <c r="G44" s="1140"/>
      <c r="H44" s="1189"/>
      <c r="I44" s="1140"/>
      <c r="J44" s="1140"/>
      <c r="K44" s="1140"/>
      <c r="L44" s="1140"/>
      <c r="M44" s="1140"/>
      <c r="N44" s="1140"/>
      <c r="O44" s="1140"/>
      <c r="P44" s="1140"/>
      <c r="Q44" s="1140"/>
      <c r="R44" s="1140"/>
    </row>
    <row r="45" spans="1:18" ht="14.65" hidden="1" customHeight="1">
      <c r="A45" s="1139"/>
      <c r="B45" s="1187"/>
      <c r="C45" s="1139"/>
      <c r="D45" s="1139"/>
      <c r="E45" s="1188"/>
      <c r="F45" s="1140"/>
      <c r="G45" s="1140"/>
      <c r="H45" s="1189"/>
      <c r="I45" s="1140"/>
      <c r="J45" s="1140"/>
      <c r="K45" s="1140"/>
      <c r="L45" s="1140"/>
      <c r="M45" s="1140"/>
      <c r="N45" s="1140"/>
      <c r="O45" s="1140"/>
      <c r="P45" s="1140"/>
      <c r="Q45" s="1140"/>
      <c r="R45" s="1140"/>
    </row>
    <row r="46" spans="1:18" ht="14.65" hidden="1" customHeight="1">
      <c r="A46" s="1139"/>
      <c r="B46" s="1187"/>
      <c r="C46" s="1139"/>
      <c r="D46" s="1139"/>
      <c r="E46" s="1188"/>
      <c r="F46" s="1140"/>
      <c r="G46" s="1140"/>
      <c r="H46" s="1189"/>
      <c r="I46" s="1140"/>
      <c r="J46" s="1140"/>
      <c r="K46" s="1140"/>
      <c r="L46" s="1140"/>
      <c r="M46" s="1140"/>
      <c r="N46" s="1140"/>
      <c r="O46" s="1140"/>
      <c r="P46" s="1140"/>
      <c r="Q46" s="1140"/>
      <c r="R46" s="1140"/>
    </row>
    <row r="47" spans="1:18" ht="14.65" hidden="1" customHeight="1">
      <c r="A47" s="1139"/>
      <c r="B47" s="1187"/>
      <c r="C47" s="1139"/>
      <c r="D47" s="1139"/>
      <c r="E47" s="1188"/>
      <c r="F47" s="1140"/>
      <c r="G47" s="1140"/>
      <c r="H47" s="1189"/>
      <c r="I47" s="1140"/>
      <c r="J47" s="1140"/>
      <c r="K47" s="1140"/>
      <c r="L47" s="1140"/>
      <c r="M47" s="1140"/>
      <c r="N47" s="1140"/>
      <c r="O47" s="1140"/>
      <c r="P47" s="1140"/>
      <c r="Q47" s="1140"/>
      <c r="R47" s="1140"/>
    </row>
    <row r="48" spans="1:18" ht="14.65" hidden="1" customHeight="1">
      <c r="A48" s="1139"/>
      <c r="B48" s="1187"/>
      <c r="C48" s="1139"/>
      <c r="D48" s="1139"/>
      <c r="E48" s="1188"/>
      <c r="F48" s="1140"/>
      <c r="G48" s="1140"/>
      <c r="H48" s="1189"/>
      <c r="I48" s="1140"/>
      <c r="J48" s="1140"/>
      <c r="K48" s="1140"/>
      <c r="L48" s="1140"/>
      <c r="M48" s="1140"/>
      <c r="N48" s="1140"/>
      <c r="O48" s="1140"/>
      <c r="P48" s="1140"/>
      <c r="Q48" s="1140"/>
      <c r="R48" s="1140"/>
    </row>
    <row r="49" spans="1:18" ht="14.65" hidden="1" customHeight="1">
      <c r="A49" s="1139"/>
      <c r="B49" s="1187"/>
      <c r="C49" s="1139"/>
      <c r="D49" s="1139"/>
      <c r="E49" s="1188"/>
      <c r="F49" s="1140"/>
      <c r="G49" s="1140"/>
      <c r="H49" s="1189"/>
      <c r="I49" s="1140"/>
      <c r="J49" s="1140"/>
      <c r="K49" s="1140"/>
      <c r="L49" s="1140"/>
      <c r="M49" s="1140"/>
      <c r="N49" s="1140"/>
      <c r="O49" s="1140"/>
      <c r="P49" s="1140"/>
      <c r="Q49" s="1140"/>
      <c r="R49" s="1140"/>
    </row>
    <row r="50" spans="1:18" ht="14.65" hidden="1" customHeight="1">
      <c r="A50" s="1139"/>
      <c r="B50" s="1187"/>
      <c r="C50" s="1139"/>
      <c r="D50" s="1139"/>
      <c r="E50" s="1188"/>
      <c r="F50" s="1140"/>
      <c r="G50" s="1140"/>
      <c r="H50" s="1189"/>
      <c r="I50" s="1140"/>
      <c r="J50" s="1140"/>
      <c r="K50" s="1140"/>
      <c r="L50" s="1140"/>
      <c r="M50" s="1140"/>
      <c r="N50" s="1140"/>
      <c r="O50" s="1140"/>
      <c r="P50" s="1140"/>
      <c r="Q50" s="1140"/>
      <c r="R50" s="1140"/>
    </row>
    <row r="51" spans="1:18" ht="14.65" hidden="1" customHeight="1">
      <c r="A51" s="1139"/>
      <c r="B51" s="1187"/>
      <c r="C51" s="1139"/>
      <c r="D51" s="1139"/>
      <c r="E51" s="1188"/>
      <c r="F51" s="1140"/>
      <c r="G51" s="1140"/>
      <c r="H51" s="1189"/>
      <c r="I51" s="1140"/>
      <c r="J51" s="1140"/>
      <c r="K51" s="1140"/>
      <c r="L51" s="1140"/>
      <c r="M51" s="1140"/>
      <c r="N51" s="1140"/>
      <c r="O51" s="1140"/>
      <c r="P51" s="1140"/>
      <c r="Q51" s="1140"/>
      <c r="R51" s="1140"/>
    </row>
    <row r="52" spans="1:18" ht="14.65" hidden="1" customHeight="1">
      <c r="A52" s="1139"/>
      <c r="B52" s="1187"/>
      <c r="C52" s="1139"/>
      <c r="D52" s="1139"/>
      <c r="E52" s="1188"/>
      <c r="F52" s="1140"/>
      <c r="G52" s="1140"/>
      <c r="H52" s="1189"/>
      <c r="I52" s="1140"/>
      <c r="J52" s="1140"/>
      <c r="K52" s="1140"/>
      <c r="L52" s="1140"/>
      <c r="M52" s="1140"/>
      <c r="N52" s="1140"/>
      <c r="O52" s="1140"/>
      <c r="P52" s="1140"/>
      <c r="Q52" s="1140"/>
      <c r="R52" s="1140"/>
    </row>
    <row r="53" spans="1:18" ht="14.65" hidden="1" customHeight="1">
      <c r="A53" s="1139"/>
      <c r="B53" s="1187"/>
      <c r="C53" s="1139"/>
      <c r="D53" s="1139"/>
      <c r="E53" s="1188"/>
      <c r="F53" s="1140"/>
      <c r="G53" s="1140"/>
      <c r="H53" s="1189"/>
      <c r="I53" s="1140"/>
      <c r="J53" s="1140"/>
      <c r="K53" s="1140"/>
      <c r="L53" s="1140"/>
      <c r="M53" s="1140"/>
      <c r="N53" s="1140"/>
      <c r="O53" s="1140"/>
      <c r="P53" s="1140"/>
      <c r="Q53" s="1140"/>
      <c r="R53" s="1140"/>
    </row>
    <row r="54" spans="1:18" ht="14.65" hidden="1" customHeight="1">
      <c r="A54" s="1139"/>
      <c r="B54" s="1187"/>
      <c r="C54" s="1139"/>
      <c r="D54" s="1139"/>
      <c r="E54" s="1188"/>
      <c r="F54" s="1140"/>
      <c r="G54" s="1140"/>
      <c r="H54" s="1189"/>
      <c r="I54" s="1140"/>
      <c r="J54" s="1140"/>
      <c r="K54" s="1140"/>
      <c r="L54" s="1140"/>
      <c r="M54" s="1140"/>
      <c r="N54" s="1140"/>
      <c r="O54" s="1140"/>
      <c r="P54" s="1140"/>
      <c r="Q54" s="1140"/>
      <c r="R54" s="1140"/>
    </row>
    <row r="55" spans="1:18" ht="14.65" hidden="1" customHeight="1">
      <c r="A55" s="1139"/>
      <c r="B55" s="1187"/>
      <c r="C55" s="1139"/>
      <c r="D55" s="1139"/>
      <c r="E55" s="1188"/>
      <c r="F55" s="1140"/>
      <c r="G55" s="1140"/>
      <c r="H55" s="1189"/>
      <c r="I55" s="1140"/>
      <c r="J55" s="1140"/>
      <c r="K55" s="1140"/>
      <c r="L55" s="1140"/>
      <c r="M55" s="1140"/>
      <c r="N55" s="1140"/>
      <c r="O55" s="1140"/>
      <c r="P55" s="1140"/>
      <c r="Q55" s="1140"/>
      <c r="R55" s="1140"/>
    </row>
    <row r="56" spans="1:18" ht="14.65" hidden="1" customHeight="1">
      <c r="A56" s="1139"/>
      <c r="B56" s="1187"/>
      <c r="C56" s="1139"/>
      <c r="D56" s="1139"/>
      <c r="E56" s="1188"/>
      <c r="F56" s="1140"/>
      <c r="G56" s="1140"/>
      <c r="H56" s="1189"/>
      <c r="I56" s="1140"/>
      <c r="J56" s="1140"/>
      <c r="K56" s="1140"/>
      <c r="L56" s="1140"/>
      <c r="M56" s="1140"/>
      <c r="N56" s="1140"/>
      <c r="O56" s="1140"/>
      <c r="P56" s="1140"/>
      <c r="Q56" s="1140"/>
      <c r="R56" s="1140"/>
    </row>
    <row r="57" spans="1:18" ht="14.65" hidden="1" customHeight="1">
      <c r="A57" s="1139"/>
      <c r="B57" s="1187"/>
      <c r="C57" s="1139"/>
      <c r="D57" s="1139"/>
      <c r="E57" s="1188"/>
      <c r="F57" s="1140"/>
      <c r="G57" s="1140"/>
      <c r="H57" s="1189"/>
      <c r="I57" s="1140"/>
      <c r="J57" s="1140"/>
      <c r="K57" s="1140"/>
      <c r="L57" s="1140"/>
      <c r="M57" s="1140"/>
      <c r="N57" s="1140"/>
      <c r="O57" s="1140"/>
      <c r="P57" s="1140"/>
      <c r="Q57" s="1140"/>
      <c r="R57" s="1140"/>
    </row>
    <row r="58" spans="1:18" ht="14.65" hidden="1" customHeight="1">
      <c r="A58" s="1139"/>
      <c r="B58" s="1187"/>
      <c r="C58" s="1139"/>
      <c r="D58" s="1139"/>
      <c r="E58" s="1188"/>
      <c r="F58" s="1140"/>
      <c r="G58" s="1140"/>
      <c r="H58" s="1189"/>
      <c r="I58" s="1140"/>
      <c r="J58" s="1140"/>
      <c r="K58" s="1140"/>
      <c r="L58" s="1140"/>
      <c r="M58" s="1140"/>
      <c r="N58" s="1140"/>
      <c r="O58" s="1140"/>
      <c r="P58" s="1140"/>
      <c r="Q58" s="1140"/>
      <c r="R58" s="1140"/>
    </row>
    <row r="59" spans="1:18" ht="14.65" hidden="1" customHeight="1">
      <c r="A59" s="1139"/>
      <c r="B59" s="1187"/>
      <c r="C59" s="1139"/>
      <c r="D59" s="1139"/>
      <c r="E59" s="1188"/>
      <c r="F59" s="1140"/>
      <c r="G59" s="1140"/>
      <c r="H59" s="1189"/>
      <c r="I59" s="1140"/>
      <c r="J59" s="1140"/>
      <c r="K59" s="1140"/>
      <c r="L59" s="1140"/>
      <c r="M59" s="1140"/>
      <c r="N59" s="1140"/>
      <c r="O59" s="1140"/>
      <c r="P59" s="1140"/>
      <c r="Q59" s="1140"/>
      <c r="R59" s="1140"/>
    </row>
    <row r="60" spans="1:18" ht="14.65" hidden="1" customHeight="1">
      <c r="A60" s="1139"/>
      <c r="B60" s="1187"/>
      <c r="C60" s="1139"/>
      <c r="D60" s="1139"/>
      <c r="E60" s="1188"/>
      <c r="F60" s="1140"/>
      <c r="G60" s="1140"/>
      <c r="H60" s="1189"/>
      <c r="I60" s="1140"/>
      <c r="J60" s="1140"/>
      <c r="K60" s="1140"/>
      <c r="L60" s="1140"/>
      <c r="M60" s="1140"/>
      <c r="N60" s="1140"/>
      <c r="O60" s="1140"/>
      <c r="P60" s="1140"/>
      <c r="Q60" s="1140"/>
      <c r="R60" s="1140"/>
    </row>
    <row r="61" spans="1:18" ht="14.65" hidden="1" customHeight="1">
      <c r="A61" s="1139"/>
      <c r="B61" s="1187"/>
      <c r="C61" s="1139"/>
      <c r="D61" s="1139"/>
      <c r="E61" s="1188"/>
      <c r="F61" s="1140"/>
      <c r="G61" s="1140"/>
      <c r="H61" s="1189"/>
      <c r="I61" s="1140"/>
      <c r="J61" s="1140"/>
      <c r="K61" s="1140"/>
      <c r="L61" s="1140"/>
      <c r="M61" s="1140"/>
      <c r="N61" s="1140"/>
      <c r="O61" s="1140"/>
      <c r="P61" s="1140"/>
      <c r="Q61" s="1140"/>
      <c r="R61" s="1140"/>
    </row>
    <row r="62" spans="1:18">
      <c r="A62" s="1524" t="s">
        <v>662</v>
      </c>
      <c r="B62" s="1525"/>
      <c r="C62" s="1202">
        <f>SUM(C8:C61)</f>
        <v>0</v>
      </c>
      <c r="D62" s="1201">
        <f t="shared" ref="D62" si="0">SUM(D8:D61)</f>
        <v>0</v>
      </c>
      <c r="E62" s="1190">
        <f>SUM(E8:E61)</f>
        <v>0</v>
      </c>
      <c r="F62" s="1191">
        <f>SUM(F8:F61)</f>
        <v>0</v>
      </c>
      <c r="G62" s="1141"/>
      <c r="H62" s="1192">
        <f t="shared" ref="H62:R62" si="1">SUM(H8:H61)</f>
        <v>0</v>
      </c>
      <c r="I62" s="1192">
        <f t="shared" si="1"/>
        <v>0</v>
      </c>
      <c r="J62" s="1192">
        <f t="shared" si="1"/>
        <v>0</v>
      </c>
      <c r="K62" s="1192">
        <f t="shared" si="1"/>
        <v>0</v>
      </c>
      <c r="L62" s="1192">
        <f t="shared" si="1"/>
        <v>0</v>
      </c>
      <c r="M62" s="1193">
        <f t="shared" si="1"/>
        <v>0</v>
      </c>
      <c r="N62" s="1193">
        <f t="shared" si="1"/>
        <v>0</v>
      </c>
      <c r="O62" s="1193">
        <f t="shared" si="1"/>
        <v>0</v>
      </c>
      <c r="P62" s="1193">
        <f t="shared" si="1"/>
        <v>0</v>
      </c>
      <c r="Q62" s="1193">
        <f t="shared" si="1"/>
        <v>0</v>
      </c>
      <c r="R62" s="1191">
        <f t="shared" si="1"/>
        <v>0</v>
      </c>
    </row>
    <row r="63" spans="1:18">
      <c r="A63" s="1524" t="s">
        <v>663</v>
      </c>
      <c r="B63" s="1525"/>
      <c r="C63" s="1203">
        <v>0</v>
      </c>
      <c r="D63" s="1204">
        <v>0</v>
      </c>
      <c r="E63" s="1205">
        <v>0</v>
      </c>
      <c r="F63" s="1206">
        <v>0</v>
      </c>
      <c r="G63" s="1207"/>
      <c r="H63" s="1208">
        <v>0</v>
      </c>
      <c r="I63" s="1208">
        <v>0</v>
      </c>
      <c r="J63" s="1208">
        <v>0</v>
      </c>
      <c r="K63" s="1208">
        <v>0</v>
      </c>
      <c r="L63" s="1208">
        <v>0</v>
      </c>
      <c r="M63" s="1209">
        <v>0</v>
      </c>
      <c r="N63" s="1209">
        <v>0</v>
      </c>
      <c r="O63" s="1193"/>
      <c r="P63" s="1193"/>
      <c r="Q63" s="1193"/>
      <c r="R63" s="1191"/>
    </row>
    <row r="64" spans="1:18" s="1142" customFormat="1"/>
    <row r="66" spans="1:18">
      <c r="A66" s="1137" t="s">
        <v>664</v>
      </c>
    </row>
    <row r="67" spans="1:18" ht="20.65" customHeight="1">
      <c r="A67" s="1544" t="s">
        <v>654</v>
      </c>
      <c r="B67" s="1546" t="s">
        <v>655</v>
      </c>
      <c r="C67" s="1544" t="s">
        <v>665</v>
      </c>
      <c r="D67" s="1534"/>
      <c r="E67" s="1534" t="s">
        <v>666</v>
      </c>
      <c r="F67" s="1535"/>
      <c r="G67" s="1538" t="s">
        <v>667</v>
      </c>
      <c r="H67" s="1539"/>
      <c r="I67" s="1540"/>
      <c r="J67" s="1540"/>
      <c r="K67" s="1540"/>
      <c r="L67" s="1540"/>
      <c r="M67" s="1540"/>
      <c r="N67" s="1540"/>
      <c r="O67" s="1540"/>
      <c r="P67" s="1540"/>
      <c r="Q67" s="1540"/>
      <c r="R67" s="1540"/>
    </row>
    <row r="68" spans="1:18" ht="22.35" customHeight="1">
      <c r="A68" s="1554"/>
      <c r="B68" s="1537"/>
      <c r="C68" s="1554"/>
      <c r="D68" s="1536"/>
      <c r="E68" s="1536"/>
      <c r="F68" s="1537"/>
      <c r="G68" s="1172">
        <v>2014</v>
      </c>
      <c r="H68" s="1173">
        <v>2015</v>
      </c>
      <c r="I68" s="1173">
        <v>2016</v>
      </c>
      <c r="J68" s="1173">
        <v>2017</v>
      </c>
      <c r="K68" s="1173">
        <v>2018</v>
      </c>
      <c r="L68" s="1194">
        <v>2019</v>
      </c>
      <c r="M68" s="1194">
        <v>2020</v>
      </c>
      <c r="N68" s="1194">
        <v>2021</v>
      </c>
      <c r="O68" s="1194">
        <v>2022</v>
      </c>
      <c r="P68" s="1194">
        <v>2023</v>
      </c>
      <c r="Q68" s="1194">
        <v>2024</v>
      </c>
      <c r="R68" s="1174" t="s">
        <v>229</v>
      </c>
    </row>
    <row r="69" spans="1:18" s="1176" customFormat="1">
      <c r="A69" s="1210" t="s">
        <v>679</v>
      </c>
      <c r="B69" s="1231" t="s">
        <v>680</v>
      </c>
      <c r="C69" s="1541">
        <v>0</v>
      </c>
      <c r="D69" s="1542"/>
      <c r="E69" s="1555">
        <f>F8-C69</f>
        <v>0</v>
      </c>
      <c r="F69" s="1556"/>
      <c r="G69" s="1212">
        <v>0</v>
      </c>
      <c r="H69" s="1214">
        <v>0</v>
      </c>
      <c r="I69" s="1216">
        <v>0</v>
      </c>
      <c r="J69" s="1216">
        <v>0</v>
      </c>
      <c r="K69" s="1216">
        <v>0</v>
      </c>
      <c r="L69" s="1216">
        <v>0</v>
      </c>
      <c r="M69" s="1195">
        <v>0</v>
      </c>
      <c r="N69" s="1195">
        <v>0</v>
      </c>
      <c r="O69" s="1195">
        <v>0</v>
      </c>
      <c r="P69" s="1195"/>
      <c r="Q69" s="1195"/>
      <c r="R69" s="1175"/>
    </row>
    <row r="70" spans="1:18">
      <c r="A70" s="1179" t="s">
        <v>682</v>
      </c>
      <c r="B70" s="1196" t="s">
        <v>680</v>
      </c>
      <c r="C70" s="1520">
        <v>0</v>
      </c>
      <c r="D70" s="1521"/>
      <c r="E70" s="1533">
        <f t="shared" ref="E70:E72" si="2">F9-C70</f>
        <v>0</v>
      </c>
      <c r="F70" s="1523"/>
      <c r="G70" s="1217">
        <v>0</v>
      </c>
      <c r="H70" s="1219">
        <v>0</v>
      </c>
      <c r="I70" s="1221">
        <v>0</v>
      </c>
      <c r="J70" s="1221">
        <v>0</v>
      </c>
      <c r="K70" s="1221">
        <v>0</v>
      </c>
      <c r="L70" s="1221">
        <v>0</v>
      </c>
      <c r="M70" s="1177">
        <v>0</v>
      </c>
      <c r="N70" s="1177">
        <v>0</v>
      </c>
      <c r="O70" s="1177">
        <v>0</v>
      </c>
      <c r="P70" s="1177"/>
      <c r="Q70" s="1177"/>
      <c r="R70" s="1178"/>
    </row>
    <row r="71" spans="1:18">
      <c r="A71" s="1179" t="s">
        <v>683</v>
      </c>
      <c r="B71" s="1196" t="s">
        <v>680</v>
      </c>
      <c r="C71" s="1520">
        <v>0</v>
      </c>
      <c r="D71" s="1521"/>
      <c r="E71" s="1533">
        <f t="shared" si="2"/>
        <v>0</v>
      </c>
      <c r="F71" s="1523"/>
      <c r="G71" s="1217">
        <v>0</v>
      </c>
      <c r="H71" s="1219">
        <v>0</v>
      </c>
      <c r="I71" s="1221">
        <v>0</v>
      </c>
      <c r="J71" s="1221">
        <v>0</v>
      </c>
      <c r="K71" s="1221">
        <v>0</v>
      </c>
      <c r="L71" s="1221">
        <v>0</v>
      </c>
      <c r="M71" s="1177">
        <v>0</v>
      </c>
      <c r="N71" s="1177">
        <v>0</v>
      </c>
      <c r="O71" s="1177">
        <v>0</v>
      </c>
      <c r="P71" s="1177"/>
      <c r="Q71" s="1177"/>
      <c r="R71" s="1178"/>
    </row>
    <row r="72" spans="1:18">
      <c r="A72" s="1179" t="s">
        <v>684</v>
      </c>
      <c r="B72" s="1196" t="s">
        <v>680</v>
      </c>
      <c r="C72" s="1520">
        <v>0</v>
      </c>
      <c r="D72" s="1521"/>
      <c r="E72" s="1533">
        <f t="shared" si="2"/>
        <v>0</v>
      </c>
      <c r="F72" s="1523"/>
      <c r="G72" s="1217">
        <v>0</v>
      </c>
      <c r="H72" s="1219">
        <v>0</v>
      </c>
      <c r="I72" s="1221">
        <v>0</v>
      </c>
      <c r="J72" s="1221">
        <v>0</v>
      </c>
      <c r="K72" s="1221">
        <v>0</v>
      </c>
      <c r="L72" s="1221">
        <v>0</v>
      </c>
      <c r="M72" s="1177">
        <v>0</v>
      </c>
      <c r="N72" s="1177">
        <v>0</v>
      </c>
      <c r="O72" s="1177">
        <v>0</v>
      </c>
      <c r="P72" s="1177"/>
      <c r="Q72" s="1177"/>
      <c r="R72" s="1178"/>
    </row>
    <row r="73" spans="1:18">
      <c r="A73" s="1179"/>
      <c r="B73" s="1196"/>
      <c r="C73" s="1520"/>
      <c r="D73" s="1521"/>
      <c r="E73" s="1522"/>
      <c r="F73" s="1523"/>
      <c r="G73" s="1217"/>
      <c r="H73" s="1219"/>
      <c r="I73" s="1221"/>
      <c r="J73" s="1221"/>
      <c r="K73" s="1221"/>
      <c r="L73" s="1221"/>
      <c r="M73" s="1177"/>
      <c r="N73" s="1177"/>
      <c r="O73" s="1177"/>
      <c r="P73" s="1177"/>
      <c r="Q73" s="1177"/>
      <c r="R73" s="1178"/>
    </row>
    <row r="74" spans="1:18">
      <c r="A74" s="1179"/>
      <c r="B74" s="1196"/>
      <c r="C74" s="1520"/>
      <c r="D74" s="1521"/>
      <c r="E74" s="1522"/>
      <c r="F74" s="1523"/>
      <c r="G74" s="1217"/>
      <c r="H74" s="1219"/>
      <c r="I74" s="1221"/>
      <c r="J74" s="1221"/>
      <c r="K74" s="1221"/>
      <c r="L74" s="1221"/>
      <c r="M74" s="1177"/>
      <c r="N74" s="1177"/>
      <c r="O74" s="1177"/>
      <c r="P74" s="1177"/>
      <c r="Q74" s="1177"/>
      <c r="R74" s="1178"/>
    </row>
    <row r="75" spans="1:18" ht="12.6" customHeight="1">
      <c r="A75" s="1179"/>
      <c r="B75" s="1232"/>
      <c r="C75" s="1520"/>
      <c r="D75" s="1521"/>
      <c r="E75" s="1522"/>
      <c r="F75" s="1523"/>
      <c r="G75" s="1217"/>
      <c r="H75" s="1219"/>
      <c r="I75" s="1221"/>
      <c r="J75" s="1221"/>
      <c r="K75" s="1221"/>
      <c r="L75" s="1221"/>
      <c r="M75" s="1177"/>
      <c r="N75" s="1177"/>
      <c r="O75" s="1177"/>
      <c r="P75" s="1177"/>
      <c r="Q75" s="1177"/>
      <c r="R75" s="1178"/>
    </row>
    <row r="76" spans="1:18">
      <c r="A76" s="1179"/>
      <c r="B76" s="1232"/>
      <c r="C76" s="1520"/>
      <c r="D76" s="1521"/>
      <c r="E76" s="1522"/>
      <c r="F76" s="1523"/>
      <c r="G76" s="1217"/>
      <c r="H76" s="1219"/>
      <c r="I76" s="1221"/>
      <c r="J76" s="1221"/>
      <c r="K76" s="1221"/>
      <c r="L76" s="1221"/>
      <c r="M76" s="1177"/>
      <c r="N76" s="1177"/>
      <c r="O76" s="1177"/>
      <c r="P76" s="1177"/>
      <c r="Q76" s="1177"/>
      <c r="R76" s="1178"/>
    </row>
    <row r="77" spans="1:18">
      <c r="A77" s="1179"/>
      <c r="B77" s="1232"/>
      <c r="C77" s="1520"/>
      <c r="D77" s="1521"/>
      <c r="E77" s="1522"/>
      <c r="F77" s="1523"/>
      <c r="G77" s="1217"/>
      <c r="H77" s="1219"/>
      <c r="I77" s="1221"/>
      <c r="J77" s="1221"/>
      <c r="K77" s="1221"/>
      <c r="L77" s="1221"/>
      <c r="M77" s="1177"/>
      <c r="N77" s="1177"/>
      <c r="O77" s="1177"/>
      <c r="P77" s="1177"/>
      <c r="Q77" s="1177"/>
      <c r="R77" s="1178"/>
    </row>
    <row r="78" spans="1:18">
      <c r="A78" s="1179"/>
      <c r="B78" s="1232"/>
      <c r="C78" s="1520"/>
      <c r="D78" s="1521"/>
      <c r="E78" s="1522"/>
      <c r="F78" s="1523"/>
      <c r="G78" s="1217"/>
      <c r="H78" s="1219"/>
      <c r="I78" s="1221"/>
      <c r="J78" s="1221"/>
      <c r="K78" s="1221"/>
      <c r="L78" s="1221"/>
      <c r="M78" s="1177"/>
      <c r="N78" s="1177"/>
      <c r="O78" s="1177"/>
      <c r="P78" s="1177"/>
      <c r="Q78" s="1177"/>
      <c r="R78" s="1178"/>
    </row>
    <row r="79" spans="1:18">
      <c r="A79" s="1222"/>
      <c r="B79" s="1233"/>
      <c r="C79" s="1520"/>
      <c r="D79" s="1521"/>
      <c r="E79" s="1522"/>
      <c r="F79" s="1523"/>
      <c r="G79" s="1228"/>
      <c r="H79" s="1225"/>
      <c r="I79" s="1229"/>
      <c r="J79" s="1229"/>
      <c r="K79" s="1229"/>
      <c r="L79" s="1229"/>
      <c r="M79" s="1230"/>
      <c r="N79" s="1230"/>
      <c r="O79" s="1230"/>
      <c r="P79" s="1230"/>
      <c r="Q79" s="1230"/>
      <c r="R79" s="1181"/>
    </row>
    <row r="80" spans="1:18" ht="14.65" hidden="1" customHeight="1">
      <c r="A80" s="1183"/>
      <c r="B80" s="1197"/>
      <c r="C80" s="1198"/>
      <c r="D80" s="1199"/>
      <c r="E80" s="1198"/>
      <c r="F80" s="1199"/>
      <c r="G80" s="1182"/>
      <c r="H80" s="1182"/>
      <c r="I80" s="1182"/>
      <c r="J80" s="1182"/>
      <c r="K80" s="1182"/>
      <c r="L80" s="1182"/>
      <c r="M80" s="1182"/>
      <c r="N80" s="1182"/>
      <c r="O80" s="1182"/>
      <c r="P80" s="1182"/>
      <c r="Q80" s="1182"/>
      <c r="R80" s="1182"/>
    </row>
    <row r="81" spans="1:18" ht="14.65" hidden="1" customHeight="1">
      <c r="A81" s="1139"/>
      <c r="B81" s="1197"/>
      <c r="C81" s="1198"/>
      <c r="D81" s="1199"/>
      <c r="E81" s="1198"/>
      <c r="F81" s="1199"/>
      <c r="G81" s="1140"/>
      <c r="H81" s="1140"/>
      <c r="I81" s="1140"/>
      <c r="J81" s="1140"/>
      <c r="K81" s="1140"/>
      <c r="L81" s="1140"/>
      <c r="M81" s="1140"/>
      <c r="N81" s="1140"/>
      <c r="O81" s="1140"/>
      <c r="P81" s="1140"/>
      <c r="Q81" s="1140"/>
      <c r="R81" s="1140"/>
    </row>
    <row r="82" spans="1:18" ht="14.65" hidden="1" customHeight="1">
      <c r="A82" s="1139"/>
      <c r="B82" s="1197"/>
      <c r="C82" s="1198"/>
      <c r="D82" s="1199"/>
      <c r="E82" s="1198"/>
      <c r="F82" s="1199"/>
      <c r="G82" s="1140"/>
      <c r="H82" s="1140"/>
      <c r="I82" s="1140"/>
      <c r="J82" s="1140"/>
      <c r="K82" s="1140"/>
      <c r="L82" s="1140"/>
      <c r="M82" s="1140"/>
      <c r="N82" s="1140"/>
      <c r="O82" s="1140"/>
      <c r="P82" s="1140"/>
      <c r="Q82" s="1140"/>
      <c r="R82" s="1140"/>
    </row>
    <row r="83" spans="1:18" ht="14.65" hidden="1" customHeight="1">
      <c r="A83" s="1139"/>
      <c r="B83" s="1197"/>
      <c r="C83" s="1198"/>
      <c r="D83" s="1199"/>
      <c r="E83" s="1198"/>
      <c r="F83" s="1199"/>
      <c r="G83" s="1140"/>
      <c r="H83" s="1140"/>
      <c r="I83" s="1140"/>
      <c r="J83" s="1140"/>
      <c r="K83" s="1140"/>
      <c r="L83" s="1140"/>
      <c r="M83" s="1140"/>
      <c r="N83" s="1140"/>
      <c r="O83" s="1140"/>
      <c r="P83" s="1140"/>
      <c r="Q83" s="1140"/>
      <c r="R83" s="1140"/>
    </row>
    <row r="84" spans="1:18" ht="14.65" hidden="1" customHeight="1">
      <c r="A84" s="1139"/>
      <c r="B84" s="1197"/>
      <c r="C84" s="1198"/>
      <c r="D84" s="1199"/>
      <c r="E84" s="1198"/>
      <c r="F84" s="1199"/>
      <c r="G84" s="1140"/>
      <c r="H84" s="1140"/>
      <c r="I84" s="1140"/>
      <c r="J84" s="1140"/>
      <c r="K84" s="1140"/>
      <c r="L84" s="1140"/>
      <c r="M84" s="1140"/>
      <c r="N84" s="1140"/>
      <c r="O84" s="1140"/>
      <c r="P84" s="1140"/>
      <c r="Q84" s="1140"/>
      <c r="R84" s="1140"/>
    </row>
    <row r="85" spans="1:18" ht="14.65" hidden="1" customHeight="1">
      <c r="A85" s="1139"/>
      <c r="B85" s="1197"/>
      <c r="C85" s="1198"/>
      <c r="D85" s="1199"/>
      <c r="E85" s="1198"/>
      <c r="F85" s="1199"/>
      <c r="G85" s="1140"/>
      <c r="H85" s="1140"/>
      <c r="I85" s="1140"/>
      <c r="J85" s="1140"/>
      <c r="K85" s="1140"/>
      <c r="L85" s="1140"/>
      <c r="M85" s="1140"/>
      <c r="N85" s="1140"/>
      <c r="O85" s="1140"/>
      <c r="P85" s="1140"/>
      <c r="Q85" s="1140"/>
      <c r="R85" s="1140"/>
    </row>
    <row r="86" spans="1:18" ht="14.65" hidden="1" customHeight="1">
      <c r="A86" s="1139"/>
      <c r="B86" s="1197"/>
      <c r="C86" s="1198"/>
      <c r="D86" s="1199"/>
      <c r="E86" s="1198"/>
      <c r="F86" s="1199"/>
      <c r="G86" s="1140"/>
      <c r="H86" s="1140"/>
      <c r="I86" s="1140"/>
      <c r="J86" s="1140"/>
      <c r="K86" s="1140"/>
      <c r="L86" s="1140"/>
      <c r="M86" s="1140"/>
      <c r="N86" s="1140"/>
      <c r="O86" s="1140"/>
      <c r="P86" s="1140"/>
      <c r="Q86" s="1140"/>
      <c r="R86" s="1140"/>
    </row>
    <row r="87" spans="1:18" ht="14.65" hidden="1" customHeight="1">
      <c r="A87" s="1139"/>
      <c r="B87" s="1197"/>
      <c r="C87" s="1198"/>
      <c r="D87" s="1199"/>
      <c r="E87" s="1198"/>
      <c r="F87" s="1199"/>
      <c r="G87" s="1140"/>
      <c r="H87" s="1140"/>
      <c r="I87" s="1140"/>
      <c r="J87" s="1140"/>
      <c r="K87" s="1140"/>
      <c r="L87" s="1140"/>
      <c r="M87" s="1140"/>
      <c r="N87" s="1140"/>
      <c r="O87" s="1140"/>
      <c r="P87" s="1140"/>
      <c r="Q87" s="1140"/>
      <c r="R87" s="1140"/>
    </row>
    <row r="88" spans="1:18" ht="14.65" hidden="1" customHeight="1">
      <c r="A88" s="1139"/>
      <c r="B88" s="1197"/>
      <c r="C88" s="1198"/>
      <c r="D88" s="1199"/>
      <c r="E88" s="1198"/>
      <c r="F88" s="1199"/>
      <c r="G88" s="1140"/>
      <c r="H88" s="1140"/>
      <c r="I88" s="1140"/>
      <c r="J88" s="1140"/>
      <c r="K88" s="1140"/>
      <c r="L88" s="1140"/>
      <c r="M88" s="1140"/>
      <c r="N88" s="1140"/>
      <c r="O88" s="1140"/>
      <c r="P88" s="1140"/>
      <c r="Q88" s="1140"/>
      <c r="R88" s="1140"/>
    </row>
    <row r="89" spans="1:18" ht="14.65" hidden="1" customHeight="1">
      <c r="A89" s="1139"/>
      <c r="B89" s="1197"/>
      <c r="C89" s="1198"/>
      <c r="D89" s="1199"/>
      <c r="E89" s="1198"/>
      <c r="F89" s="1199"/>
      <c r="G89" s="1140"/>
      <c r="H89" s="1140"/>
      <c r="I89" s="1140"/>
      <c r="J89" s="1140"/>
      <c r="K89" s="1140"/>
      <c r="L89" s="1140"/>
      <c r="M89" s="1140"/>
      <c r="N89" s="1140"/>
      <c r="O89" s="1140"/>
      <c r="P89" s="1140"/>
      <c r="Q89" s="1140"/>
      <c r="R89" s="1140"/>
    </row>
    <row r="90" spans="1:18" ht="14.65" hidden="1" customHeight="1">
      <c r="A90" s="1139"/>
      <c r="B90" s="1197"/>
      <c r="C90" s="1198"/>
      <c r="D90" s="1199"/>
      <c r="E90" s="1198"/>
      <c r="F90" s="1199"/>
      <c r="G90" s="1140"/>
      <c r="H90" s="1140"/>
      <c r="I90" s="1140"/>
      <c r="J90" s="1140"/>
      <c r="K90" s="1140"/>
      <c r="L90" s="1140"/>
      <c r="M90" s="1140"/>
      <c r="N90" s="1140"/>
      <c r="O90" s="1140"/>
      <c r="P90" s="1140"/>
      <c r="Q90" s="1140"/>
      <c r="R90" s="1140"/>
    </row>
    <row r="91" spans="1:18" ht="14.65" hidden="1" customHeight="1">
      <c r="A91" s="1139"/>
      <c r="B91" s="1197"/>
      <c r="C91" s="1198"/>
      <c r="D91" s="1199"/>
      <c r="E91" s="1198"/>
      <c r="F91" s="1199"/>
      <c r="G91" s="1140"/>
      <c r="H91" s="1140"/>
      <c r="I91" s="1140"/>
      <c r="J91" s="1140"/>
      <c r="K91" s="1140"/>
      <c r="L91" s="1140"/>
      <c r="M91" s="1140"/>
      <c r="N91" s="1140"/>
      <c r="O91" s="1140"/>
      <c r="P91" s="1140"/>
      <c r="Q91" s="1140"/>
      <c r="R91" s="1140"/>
    </row>
    <row r="92" spans="1:18" ht="14.65" hidden="1" customHeight="1">
      <c r="A92" s="1139"/>
      <c r="B92" s="1197"/>
      <c r="C92" s="1198"/>
      <c r="D92" s="1199"/>
      <c r="E92" s="1198"/>
      <c r="F92" s="1199"/>
      <c r="G92" s="1140"/>
      <c r="H92" s="1140"/>
      <c r="I92" s="1140"/>
      <c r="J92" s="1140"/>
      <c r="K92" s="1140"/>
      <c r="L92" s="1140"/>
      <c r="M92" s="1140"/>
      <c r="N92" s="1140"/>
      <c r="O92" s="1140"/>
      <c r="P92" s="1140"/>
      <c r="Q92" s="1140"/>
      <c r="R92" s="1140"/>
    </row>
    <row r="93" spans="1:18" ht="14.65" hidden="1" customHeight="1">
      <c r="A93" s="1139"/>
      <c r="B93" s="1197"/>
      <c r="C93" s="1198"/>
      <c r="D93" s="1199"/>
      <c r="E93" s="1198"/>
      <c r="F93" s="1199"/>
      <c r="G93" s="1140"/>
      <c r="H93" s="1140"/>
      <c r="I93" s="1140"/>
      <c r="J93" s="1140"/>
      <c r="K93" s="1140"/>
      <c r="L93" s="1140"/>
      <c r="M93" s="1140"/>
      <c r="N93" s="1140"/>
      <c r="O93" s="1140"/>
      <c r="P93" s="1140"/>
      <c r="Q93" s="1140"/>
      <c r="R93" s="1140"/>
    </row>
    <row r="94" spans="1:18" ht="14.65" hidden="1" customHeight="1">
      <c r="A94" s="1139"/>
      <c r="B94" s="1197"/>
      <c r="C94" s="1198"/>
      <c r="D94" s="1199"/>
      <c r="E94" s="1198"/>
      <c r="F94" s="1199"/>
      <c r="G94" s="1140"/>
      <c r="H94" s="1140"/>
      <c r="I94" s="1140"/>
      <c r="J94" s="1140"/>
      <c r="K94" s="1140"/>
      <c r="L94" s="1140"/>
      <c r="M94" s="1140"/>
      <c r="N94" s="1140"/>
      <c r="O94" s="1140"/>
      <c r="P94" s="1140"/>
      <c r="Q94" s="1140"/>
      <c r="R94" s="1140"/>
    </row>
    <row r="95" spans="1:18" ht="14.65" hidden="1" customHeight="1">
      <c r="A95" s="1139"/>
      <c r="B95" s="1197"/>
      <c r="C95" s="1198"/>
      <c r="D95" s="1199"/>
      <c r="E95" s="1198"/>
      <c r="F95" s="1199"/>
      <c r="G95" s="1140"/>
      <c r="H95" s="1140"/>
      <c r="I95" s="1140"/>
      <c r="J95" s="1140"/>
      <c r="K95" s="1140"/>
      <c r="L95" s="1140"/>
      <c r="M95" s="1140"/>
      <c r="N95" s="1140"/>
      <c r="O95" s="1140"/>
      <c r="P95" s="1140"/>
      <c r="Q95" s="1140"/>
      <c r="R95" s="1140"/>
    </row>
    <row r="96" spans="1:18" ht="14.65" hidden="1" customHeight="1">
      <c r="A96" s="1139"/>
      <c r="B96" s="1197"/>
      <c r="C96" s="1198"/>
      <c r="D96" s="1199"/>
      <c r="E96" s="1198"/>
      <c r="F96" s="1199"/>
      <c r="G96" s="1140"/>
      <c r="H96" s="1140"/>
      <c r="I96" s="1140"/>
      <c r="J96" s="1140"/>
      <c r="K96" s="1140"/>
      <c r="L96" s="1140"/>
      <c r="M96" s="1140"/>
      <c r="N96" s="1140"/>
      <c r="O96" s="1140"/>
      <c r="P96" s="1140"/>
      <c r="Q96" s="1140"/>
      <c r="R96" s="1140"/>
    </row>
    <row r="97" spans="1:18" ht="14.65" hidden="1" customHeight="1">
      <c r="A97" s="1139"/>
      <c r="B97" s="1197"/>
      <c r="C97" s="1198"/>
      <c r="D97" s="1199"/>
      <c r="E97" s="1198"/>
      <c r="F97" s="1199"/>
      <c r="G97" s="1140"/>
      <c r="H97" s="1140"/>
      <c r="I97" s="1140"/>
      <c r="J97" s="1140"/>
      <c r="K97" s="1140"/>
      <c r="L97" s="1140"/>
      <c r="M97" s="1140"/>
      <c r="N97" s="1140"/>
      <c r="O97" s="1140"/>
      <c r="P97" s="1140"/>
      <c r="Q97" s="1140"/>
      <c r="R97" s="1140"/>
    </row>
    <row r="98" spans="1:18" ht="14.65" hidden="1" customHeight="1">
      <c r="A98" s="1139"/>
      <c r="B98" s="1197"/>
      <c r="C98" s="1198"/>
      <c r="D98" s="1199"/>
      <c r="E98" s="1198"/>
      <c r="F98" s="1199"/>
      <c r="G98" s="1140"/>
      <c r="H98" s="1140"/>
      <c r="I98" s="1140"/>
      <c r="J98" s="1140"/>
      <c r="K98" s="1140"/>
      <c r="L98" s="1140"/>
      <c r="M98" s="1140"/>
      <c r="N98" s="1140"/>
      <c r="O98" s="1140"/>
      <c r="P98" s="1140"/>
      <c r="Q98" s="1140"/>
      <c r="R98" s="1140"/>
    </row>
    <row r="99" spans="1:18" ht="14.65" hidden="1" customHeight="1">
      <c r="A99" s="1139"/>
      <c r="B99" s="1197"/>
      <c r="C99" s="1198"/>
      <c r="D99" s="1199"/>
      <c r="E99" s="1198"/>
      <c r="F99" s="1199"/>
      <c r="G99" s="1140"/>
      <c r="H99" s="1140"/>
      <c r="I99" s="1140"/>
      <c r="J99" s="1140"/>
      <c r="K99" s="1140"/>
      <c r="L99" s="1140"/>
      <c r="M99" s="1140"/>
      <c r="N99" s="1140"/>
      <c r="O99" s="1140"/>
      <c r="P99" s="1140"/>
      <c r="Q99" s="1140"/>
      <c r="R99" s="1140"/>
    </row>
    <row r="100" spans="1:18" ht="14.65" hidden="1" customHeight="1">
      <c r="A100" s="1139"/>
      <c r="B100" s="1197"/>
      <c r="C100" s="1198"/>
      <c r="D100" s="1199"/>
      <c r="E100" s="1198"/>
      <c r="F100" s="1199"/>
      <c r="G100" s="1140"/>
      <c r="H100" s="1140"/>
      <c r="I100" s="1140"/>
      <c r="J100" s="1140"/>
      <c r="K100" s="1140"/>
      <c r="L100" s="1140"/>
      <c r="M100" s="1140"/>
      <c r="N100" s="1140"/>
      <c r="O100" s="1140"/>
      <c r="P100" s="1140"/>
      <c r="Q100" s="1140"/>
      <c r="R100" s="1140"/>
    </row>
    <row r="101" spans="1:18" ht="14.65" hidden="1" customHeight="1">
      <c r="A101" s="1139"/>
      <c r="B101" s="1197"/>
      <c r="C101" s="1198"/>
      <c r="D101" s="1199"/>
      <c r="E101" s="1198"/>
      <c r="F101" s="1199"/>
      <c r="G101" s="1140"/>
      <c r="H101" s="1140"/>
      <c r="I101" s="1140"/>
      <c r="J101" s="1140"/>
      <c r="K101" s="1140"/>
      <c r="L101" s="1140"/>
      <c r="M101" s="1140"/>
      <c r="N101" s="1140"/>
      <c r="O101" s="1140"/>
      <c r="P101" s="1140"/>
      <c r="Q101" s="1140"/>
      <c r="R101" s="1140"/>
    </row>
    <row r="102" spans="1:18" ht="14.65" hidden="1" customHeight="1">
      <c r="A102" s="1139"/>
      <c r="B102" s="1197"/>
      <c r="C102" s="1198"/>
      <c r="D102" s="1199"/>
      <c r="E102" s="1198"/>
      <c r="F102" s="1199"/>
      <c r="G102" s="1140"/>
      <c r="H102" s="1140"/>
      <c r="I102" s="1140"/>
      <c r="J102" s="1140"/>
      <c r="K102" s="1140"/>
      <c r="L102" s="1140"/>
      <c r="M102" s="1140"/>
      <c r="N102" s="1140"/>
      <c r="O102" s="1140"/>
      <c r="P102" s="1140"/>
      <c r="Q102" s="1140"/>
      <c r="R102" s="1140"/>
    </row>
    <row r="103" spans="1:18" ht="14.65" hidden="1" customHeight="1">
      <c r="A103" s="1139"/>
      <c r="B103" s="1197"/>
      <c r="C103" s="1198"/>
      <c r="D103" s="1199"/>
      <c r="E103" s="1198"/>
      <c r="F103" s="1199"/>
      <c r="G103" s="1140"/>
      <c r="H103" s="1140"/>
      <c r="I103" s="1140"/>
      <c r="J103" s="1140"/>
      <c r="K103" s="1140"/>
      <c r="L103" s="1140"/>
      <c r="M103" s="1140"/>
      <c r="N103" s="1140"/>
      <c r="O103" s="1140"/>
      <c r="P103" s="1140"/>
      <c r="Q103" s="1140"/>
      <c r="R103" s="1140"/>
    </row>
    <row r="104" spans="1:18" ht="14.65" hidden="1" customHeight="1">
      <c r="A104" s="1139"/>
      <c r="B104" s="1197"/>
      <c r="C104" s="1198"/>
      <c r="D104" s="1199"/>
      <c r="E104" s="1198"/>
      <c r="F104" s="1199"/>
      <c r="G104" s="1140"/>
      <c r="H104" s="1140"/>
      <c r="I104" s="1140"/>
      <c r="J104" s="1140"/>
      <c r="K104" s="1140"/>
      <c r="L104" s="1140"/>
      <c r="M104" s="1140"/>
      <c r="N104" s="1140"/>
      <c r="O104" s="1140"/>
      <c r="P104" s="1140"/>
      <c r="Q104" s="1140"/>
      <c r="R104" s="1140"/>
    </row>
    <row r="105" spans="1:18" ht="14.65" hidden="1" customHeight="1">
      <c r="A105" s="1139"/>
      <c r="B105" s="1197"/>
      <c r="C105" s="1198"/>
      <c r="D105" s="1199"/>
      <c r="E105" s="1198"/>
      <c r="F105" s="1199"/>
      <c r="G105" s="1140"/>
      <c r="H105" s="1140"/>
      <c r="I105" s="1140"/>
      <c r="J105" s="1140"/>
      <c r="K105" s="1140"/>
      <c r="L105" s="1140"/>
      <c r="M105" s="1140"/>
      <c r="N105" s="1140"/>
      <c r="O105" s="1140"/>
      <c r="P105" s="1140"/>
      <c r="Q105" s="1140"/>
      <c r="R105" s="1140"/>
    </row>
    <row r="106" spans="1:18" ht="14.65" hidden="1" customHeight="1">
      <c r="A106" s="1139"/>
      <c r="B106" s="1197"/>
      <c r="C106" s="1198"/>
      <c r="D106" s="1199"/>
      <c r="E106" s="1198"/>
      <c r="F106" s="1199"/>
      <c r="G106" s="1140"/>
      <c r="H106" s="1140"/>
      <c r="I106" s="1140"/>
      <c r="J106" s="1140"/>
      <c r="K106" s="1140"/>
      <c r="L106" s="1140"/>
      <c r="M106" s="1140"/>
      <c r="N106" s="1140"/>
      <c r="O106" s="1140"/>
      <c r="P106" s="1140"/>
      <c r="Q106" s="1140"/>
      <c r="R106" s="1140"/>
    </row>
    <row r="107" spans="1:18" ht="14.65" hidden="1" customHeight="1">
      <c r="A107" s="1139"/>
      <c r="B107" s="1197"/>
      <c r="C107" s="1198"/>
      <c r="D107" s="1199"/>
      <c r="E107" s="1198"/>
      <c r="F107" s="1199"/>
      <c r="G107" s="1140"/>
      <c r="H107" s="1140"/>
      <c r="I107" s="1140"/>
      <c r="J107" s="1140"/>
      <c r="K107" s="1140"/>
      <c r="L107" s="1140"/>
      <c r="M107" s="1140"/>
      <c r="N107" s="1140"/>
      <c r="O107" s="1140"/>
      <c r="P107" s="1140"/>
      <c r="Q107" s="1140"/>
      <c r="R107" s="1140"/>
    </row>
    <row r="108" spans="1:18" ht="14.65" hidden="1" customHeight="1">
      <c r="A108" s="1139"/>
      <c r="B108" s="1197"/>
      <c r="C108" s="1198"/>
      <c r="D108" s="1199"/>
      <c r="E108" s="1198"/>
      <c r="F108" s="1199"/>
      <c r="G108" s="1140"/>
      <c r="H108" s="1140"/>
      <c r="I108" s="1140"/>
      <c r="J108" s="1140"/>
      <c r="K108" s="1140"/>
      <c r="L108" s="1140"/>
      <c r="M108" s="1140"/>
      <c r="N108" s="1140"/>
      <c r="O108" s="1140"/>
      <c r="P108" s="1140"/>
      <c r="Q108" s="1140"/>
      <c r="R108" s="1140"/>
    </row>
    <row r="109" spans="1:18" ht="14.65" hidden="1" customHeight="1">
      <c r="A109" s="1139"/>
      <c r="B109" s="1197"/>
      <c r="C109" s="1198"/>
      <c r="D109" s="1199"/>
      <c r="E109" s="1198"/>
      <c r="F109" s="1199"/>
      <c r="G109" s="1140"/>
      <c r="H109" s="1140"/>
      <c r="I109" s="1140"/>
      <c r="J109" s="1140"/>
      <c r="K109" s="1140"/>
      <c r="L109" s="1140"/>
      <c r="M109" s="1140"/>
      <c r="N109" s="1140"/>
      <c r="O109" s="1140"/>
      <c r="P109" s="1140"/>
      <c r="Q109" s="1140"/>
      <c r="R109" s="1140"/>
    </row>
    <row r="110" spans="1:18" ht="14.65" hidden="1" customHeight="1">
      <c r="A110" s="1139"/>
      <c r="B110" s="1197"/>
      <c r="C110" s="1198"/>
      <c r="D110" s="1199"/>
      <c r="E110" s="1198"/>
      <c r="F110" s="1199"/>
      <c r="G110" s="1140"/>
      <c r="H110" s="1140"/>
      <c r="I110" s="1140"/>
      <c r="J110" s="1140"/>
      <c r="K110" s="1140"/>
      <c r="L110" s="1140"/>
      <c r="M110" s="1140"/>
      <c r="N110" s="1140"/>
      <c r="O110" s="1140"/>
      <c r="P110" s="1140"/>
      <c r="Q110" s="1140"/>
      <c r="R110" s="1140"/>
    </row>
    <row r="111" spans="1:18" ht="14.65" hidden="1" customHeight="1">
      <c r="A111" s="1139"/>
      <c r="B111" s="1197"/>
      <c r="C111" s="1198"/>
      <c r="D111" s="1199"/>
      <c r="E111" s="1198"/>
      <c r="F111" s="1199"/>
      <c r="G111" s="1140"/>
      <c r="H111" s="1140"/>
      <c r="I111" s="1140"/>
      <c r="J111" s="1140"/>
      <c r="K111" s="1140"/>
      <c r="L111" s="1140"/>
      <c r="M111" s="1140"/>
      <c r="N111" s="1140"/>
      <c r="O111" s="1140"/>
      <c r="P111" s="1140"/>
      <c r="Q111" s="1140"/>
      <c r="R111" s="1140"/>
    </row>
    <row r="112" spans="1:18" ht="14.65" hidden="1" customHeight="1">
      <c r="A112" s="1139"/>
      <c r="B112" s="1197"/>
      <c r="C112" s="1198"/>
      <c r="D112" s="1199"/>
      <c r="E112" s="1198"/>
      <c r="F112" s="1199"/>
      <c r="G112" s="1140"/>
      <c r="H112" s="1140"/>
      <c r="I112" s="1140"/>
      <c r="J112" s="1140"/>
      <c r="K112" s="1140"/>
      <c r="L112" s="1140"/>
      <c r="M112" s="1140"/>
      <c r="N112" s="1140"/>
      <c r="O112" s="1140"/>
      <c r="P112" s="1140"/>
      <c r="Q112" s="1140"/>
      <c r="R112" s="1140"/>
    </row>
    <row r="113" spans="1:18" ht="14.65" hidden="1" customHeight="1">
      <c r="A113" s="1139"/>
      <c r="B113" s="1197"/>
      <c r="C113" s="1198"/>
      <c r="D113" s="1199"/>
      <c r="E113" s="1198"/>
      <c r="F113" s="1199"/>
      <c r="G113" s="1140"/>
      <c r="H113" s="1140"/>
      <c r="I113" s="1140"/>
      <c r="J113" s="1140"/>
      <c r="K113" s="1140"/>
      <c r="L113" s="1140"/>
      <c r="M113" s="1140"/>
      <c r="N113" s="1140"/>
      <c r="O113" s="1140"/>
      <c r="P113" s="1140"/>
      <c r="Q113" s="1140"/>
      <c r="R113" s="1140"/>
    </row>
    <row r="114" spans="1:18" ht="14.65" hidden="1" customHeight="1">
      <c r="A114" s="1139"/>
      <c r="B114" s="1197"/>
      <c r="C114" s="1198"/>
      <c r="D114" s="1199"/>
      <c r="E114" s="1198"/>
      <c r="F114" s="1199"/>
      <c r="G114" s="1140"/>
      <c r="H114" s="1140"/>
      <c r="I114" s="1140"/>
      <c r="J114" s="1140"/>
      <c r="K114" s="1140"/>
      <c r="L114" s="1140"/>
      <c r="M114" s="1140"/>
      <c r="N114" s="1140"/>
      <c r="O114" s="1140"/>
      <c r="P114" s="1140"/>
      <c r="Q114" s="1140"/>
      <c r="R114" s="1140"/>
    </row>
    <row r="115" spans="1:18" ht="14.65" hidden="1" customHeight="1">
      <c r="A115" s="1139"/>
      <c r="B115" s="1197"/>
      <c r="C115" s="1198"/>
      <c r="D115" s="1199"/>
      <c r="E115" s="1198"/>
      <c r="F115" s="1199"/>
      <c r="G115" s="1140"/>
      <c r="H115" s="1140"/>
      <c r="I115" s="1140"/>
      <c r="J115" s="1140"/>
      <c r="K115" s="1140"/>
      <c r="L115" s="1140"/>
      <c r="M115" s="1140"/>
      <c r="N115" s="1140"/>
      <c r="O115" s="1140"/>
      <c r="P115" s="1140"/>
      <c r="Q115" s="1140"/>
      <c r="R115" s="1140"/>
    </row>
    <row r="116" spans="1:18" ht="14.65" hidden="1" customHeight="1">
      <c r="A116" s="1139"/>
      <c r="B116" s="1197"/>
      <c r="C116" s="1198"/>
      <c r="D116" s="1199"/>
      <c r="E116" s="1198"/>
      <c r="F116" s="1199"/>
      <c r="G116" s="1140"/>
      <c r="H116" s="1140"/>
      <c r="I116" s="1140"/>
      <c r="J116" s="1140"/>
      <c r="K116" s="1140"/>
      <c r="L116" s="1140"/>
      <c r="M116" s="1140"/>
      <c r="N116" s="1140"/>
      <c r="O116" s="1140"/>
      <c r="P116" s="1140"/>
      <c r="Q116" s="1140"/>
      <c r="R116" s="1140"/>
    </row>
    <row r="117" spans="1:18" ht="14.65" hidden="1" customHeight="1">
      <c r="A117" s="1139"/>
      <c r="B117" s="1197"/>
      <c r="C117" s="1198"/>
      <c r="D117" s="1199"/>
      <c r="E117" s="1198"/>
      <c r="F117" s="1199"/>
      <c r="G117" s="1140"/>
      <c r="H117" s="1140"/>
      <c r="I117" s="1140"/>
      <c r="J117" s="1140"/>
      <c r="K117" s="1140"/>
      <c r="L117" s="1140"/>
      <c r="M117" s="1140"/>
      <c r="N117" s="1140"/>
      <c r="O117" s="1140"/>
      <c r="P117" s="1140"/>
      <c r="Q117" s="1140"/>
      <c r="R117" s="1140"/>
    </row>
    <row r="118" spans="1:18" ht="14.65" hidden="1" customHeight="1">
      <c r="A118" s="1139"/>
      <c r="B118" s="1197"/>
      <c r="C118" s="1198"/>
      <c r="D118" s="1199"/>
      <c r="E118" s="1198"/>
      <c r="F118" s="1199"/>
      <c r="G118" s="1140"/>
      <c r="H118" s="1140"/>
      <c r="I118" s="1140"/>
      <c r="J118" s="1140"/>
      <c r="K118" s="1140"/>
      <c r="L118" s="1140"/>
      <c r="M118" s="1140"/>
      <c r="N118" s="1140"/>
      <c r="O118" s="1140"/>
      <c r="P118" s="1140"/>
      <c r="Q118" s="1140"/>
      <c r="R118" s="1140"/>
    </row>
    <row r="119" spans="1:18" ht="14.65" hidden="1" customHeight="1">
      <c r="A119" s="1139"/>
      <c r="B119" s="1197"/>
      <c r="C119" s="1198"/>
      <c r="D119" s="1199"/>
      <c r="E119" s="1198"/>
      <c r="F119" s="1199"/>
      <c r="G119" s="1140"/>
      <c r="H119" s="1140"/>
      <c r="I119" s="1140"/>
      <c r="J119" s="1140"/>
      <c r="K119" s="1140"/>
      <c r="L119" s="1140"/>
      <c r="M119" s="1140"/>
      <c r="N119" s="1140"/>
      <c r="O119" s="1140"/>
      <c r="P119" s="1140"/>
      <c r="Q119" s="1140"/>
      <c r="R119" s="1140"/>
    </row>
    <row r="120" spans="1:18" ht="14.65" hidden="1" customHeight="1">
      <c r="A120" s="1139"/>
      <c r="B120" s="1197"/>
      <c r="C120" s="1198"/>
      <c r="D120" s="1199"/>
      <c r="E120" s="1198"/>
      <c r="F120" s="1199"/>
      <c r="G120" s="1140"/>
      <c r="H120" s="1140"/>
      <c r="I120" s="1140"/>
      <c r="J120" s="1140"/>
      <c r="K120" s="1140"/>
      <c r="L120" s="1140"/>
      <c r="M120" s="1140"/>
      <c r="N120" s="1140"/>
      <c r="O120" s="1140"/>
      <c r="P120" s="1140"/>
      <c r="Q120" s="1140"/>
      <c r="R120" s="1140"/>
    </row>
    <row r="121" spans="1:18" ht="14.65" hidden="1" customHeight="1">
      <c r="A121" s="1139"/>
      <c r="B121" s="1197"/>
      <c r="C121" s="1198"/>
      <c r="D121" s="1199"/>
      <c r="E121" s="1198"/>
      <c r="F121" s="1199"/>
      <c r="G121" s="1140"/>
      <c r="H121" s="1140"/>
      <c r="I121" s="1140"/>
      <c r="J121" s="1140"/>
      <c r="K121" s="1140"/>
      <c r="L121" s="1140"/>
      <c r="M121" s="1140"/>
      <c r="N121" s="1140"/>
      <c r="O121" s="1140"/>
      <c r="P121" s="1140"/>
      <c r="Q121" s="1140"/>
      <c r="R121" s="1140"/>
    </row>
    <row r="122" spans="1:18" ht="14.65" hidden="1" customHeight="1">
      <c r="A122" s="1139"/>
      <c r="B122" s="1197"/>
      <c r="C122" s="1198"/>
      <c r="D122" s="1199"/>
      <c r="E122" s="1198"/>
      <c r="F122" s="1199"/>
      <c r="G122" s="1140"/>
      <c r="H122" s="1140"/>
      <c r="I122" s="1140"/>
      <c r="J122" s="1140"/>
      <c r="K122" s="1140"/>
      <c r="L122" s="1140"/>
      <c r="M122" s="1140"/>
      <c r="N122" s="1140"/>
      <c r="O122" s="1140"/>
      <c r="P122" s="1140"/>
      <c r="Q122" s="1140"/>
      <c r="R122" s="1140"/>
    </row>
    <row r="123" spans="1:18">
      <c r="A123" s="1524" t="s">
        <v>662</v>
      </c>
      <c r="B123" s="1525"/>
      <c r="C123" s="1529">
        <f>SUM(C69:D122)</f>
        <v>0</v>
      </c>
      <c r="D123" s="1530"/>
      <c r="E123" s="1531">
        <f>SUM(E69:F122)</f>
        <v>0</v>
      </c>
      <c r="F123" s="1532"/>
      <c r="G123" s="1200">
        <f>SUM(G69:G79)</f>
        <v>0</v>
      </c>
      <c r="H123" s="1192">
        <f t="shared" ref="H123:R123" si="3">SUM(H69:H79)</f>
        <v>0</v>
      </c>
      <c r="I123" s="1192">
        <f t="shared" si="3"/>
        <v>0</v>
      </c>
      <c r="J123" s="1192">
        <f t="shared" si="3"/>
        <v>0</v>
      </c>
      <c r="K123" s="1192">
        <f t="shared" si="3"/>
        <v>0</v>
      </c>
      <c r="L123" s="1192">
        <f t="shared" si="3"/>
        <v>0</v>
      </c>
      <c r="M123" s="1192">
        <f t="shared" si="3"/>
        <v>0</v>
      </c>
      <c r="N123" s="1192">
        <f t="shared" si="3"/>
        <v>0</v>
      </c>
      <c r="O123" s="1192">
        <f t="shared" si="3"/>
        <v>0</v>
      </c>
      <c r="P123" s="1192">
        <f t="shared" si="3"/>
        <v>0</v>
      </c>
      <c r="Q123" s="1192">
        <f t="shared" si="3"/>
        <v>0</v>
      </c>
      <c r="R123" s="1191">
        <f t="shared" si="3"/>
        <v>0</v>
      </c>
    </row>
    <row r="124" spans="1:18">
      <c r="A124" s="1524" t="s">
        <v>663</v>
      </c>
      <c r="B124" s="1525"/>
      <c r="C124" s="1526">
        <v>0</v>
      </c>
      <c r="D124" s="1527"/>
      <c r="E124" s="1527">
        <v>0</v>
      </c>
      <c r="F124" s="1528"/>
      <c r="G124" s="1234">
        <v>0</v>
      </c>
      <c r="H124" s="1208">
        <v>0</v>
      </c>
      <c r="I124" s="1208">
        <v>0</v>
      </c>
      <c r="J124" s="1208">
        <v>0</v>
      </c>
      <c r="K124" s="1208">
        <v>0</v>
      </c>
      <c r="L124" s="1208">
        <v>0</v>
      </c>
      <c r="M124" s="1208">
        <v>0</v>
      </c>
      <c r="N124" s="1208">
        <v>0</v>
      </c>
      <c r="O124" s="1208">
        <v>0</v>
      </c>
      <c r="P124" s="1208"/>
      <c r="Q124" s="1208"/>
      <c r="R124" s="1206"/>
    </row>
    <row r="131" spans="1:18" ht="15">
      <c r="A131" s="1143"/>
      <c r="B131" s="1143"/>
      <c r="C131" s="1143"/>
      <c r="D131" s="1143"/>
      <c r="E131" s="1143"/>
      <c r="F131" s="1164"/>
      <c r="G131" s="1164"/>
      <c r="H131" s="1144"/>
      <c r="I131" s="1164"/>
      <c r="J131" s="1164"/>
      <c r="K131" s="1145"/>
      <c r="L131" s="1146"/>
      <c r="M131" s="1146"/>
      <c r="N131" s="1146"/>
      <c r="O131" s="1146"/>
      <c r="P131" s="1146"/>
      <c r="Q131" s="1146"/>
      <c r="R131" s="1165"/>
    </row>
  </sheetData>
  <mergeCells count="42">
    <mergeCell ref="E67:F68"/>
    <mergeCell ref="G67:R67"/>
    <mergeCell ref="C69:D69"/>
    <mergeCell ref="A1:R1"/>
    <mergeCell ref="A6:A7"/>
    <mergeCell ref="B6:B7"/>
    <mergeCell ref="C6:D6"/>
    <mergeCell ref="E6:F6"/>
    <mergeCell ref="G6:G7"/>
    <mergeCell ref="H6:R6"/>
    <mergeCell ref="A62:B62"/>
    <mergeCell ref="A63:B63"/>
    <mergeCell ref="A67:A68"/>
    <mergeCell ref="B67:B68"/>
    <mergeCell ref="C67:D68"/>
    <mergeCell ref="E69:F69"/>
    <mergeCell ref="C70:D70"/>
    <mergeCell ref="E70:F70"/>
    <mergeCell ref="C71:D71"/>
    <mergeCell ref="E71:F71"/>
    <mergeCell ref="C72:D72"/>
    <mergeCell ref="E72:F72"/>
    <mergeCell ref="C73:D73"/>
    <mergeCell ref="E73:F73"/>
    <mergeCell ref="C74:D74"/>
    <mergeCell ref="E74:F74"/>
    <mergeCell ref="C75:D75"/>
    <mergeCell ref="E75:F75"/>
    <mergeCell ref="C76:D76"/>
    <mergeCell ref="E76:F76"/>
    <mergeCell ref="C77:D77"/>
    <mergeCell ref="E77:F77"/>
    <mergeCell ref="A124:B124"/>
    <mergeCell ref="C124:D124"/>
    <mergeCell ref="E124:F124"/>
    <mergeCell ref="C78:D78"/>
    <mergeCell ref="E78:F78"/>
    <mergeCell ref="C79:D79"/>
    <mergeCell ref="E79:F79"/>
    <mergeCell ref="A123:B123"/>
    <mergeCell ref="C123:D123"/>
    <mergeCell ref="E123:F123"/>
  </mergeCells>
  <pageMargins left="0.59055118110236227" right="0.59055118110236227" top="0.59055118110236227" bottom="0.59055118110236227" header="0.31496062992125984" footer="0.31496062992125984"/>
  <pageSetup paperSize="9" scale="4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9"/>
  <sheetViews>
    <sheetView zoomScaleNormal="100" zoomScaleSheetLayoutView="85" workbookViewId="0">
      <selection activeCell="B7" sqref="B7"/>
    </sheetView>
  </sheetViews>
  <sheetFormatPr baseColWidth="10" defaultColWidth="9.28515625" defaultRowHeight="12"/>
  <cols>
    <col min="1" max="1" width="17.7109375" style="1098" customWidth="1"/>
    <col min="2" max="2" width="35" style="1098" customWidth="1"/>
    <col min="3" max="12" width="8.28515625" style="1098" customWidth="1"/>
    <col min="13" max="13" width="3.28515625" style="1098" customWidth="1"/>
    <col min="14" max="259" width="9.28515625" style="1098"/>
    <col min="260" max="260" width="1.7109375" style="1098" customWidth="1"/>
    <col min="261" max="261" width="17.7109375" style="1098" bestFit="1" customWidth="1"/>
    <col min="262" max="262" width="29.7109375" style="1098" customWidth="1"/>
    <col min="263" max="264" width="6.42578125" style="1098" customWidth="1"/>
    <col min="265" max="267" width="6.42578125" style="1098" bestFit="1" customWidth="1"/>
    <col min="268" max="268" width="1.5703125" style="1098" customWidth="1"/>
    <col min="269" max="269" width="0" style="1098" hidden="1" customWidth="1"/>
    <col min="270" max="515" width="9.28515625" style="1098"/>
    <col min="516" max="516" width="1.7109375" style="1098" customWidth="1"/>
    <col min="517" max="517" width="17.7109375" style="1098" bestFit="1" customWidth="1"/>
    <col min="518" max="518" width="29.7109375" style="1098" customWidth="1"/>
    <col min="519" max="520" width="6.42578125" style="1098" customWidth="1"/>
    <col min="521" max="523" width="6.42578125" style="1098" bestFit="1" customWidth="1"/>
    <col min="524" max="524" width="1.5703125" style="1098" customWidth="1"/>
    <col min="525" max="525" width="0" style="1098" hidden="1" customWidth="1"/>
    <col min="526" max="771" width="9.28515625" style="1098"/>
    <col min="772" max="772" width="1.7109375" style="1098" customWidth="1"/>
    <col min="773" max="773" width="17.7109375" style="1098" bestFit="1" customWidth="1"/>
    <col min="774" max="774" width="29.7109375" style="1098" customWidth="1"/>
    <col min="775" max="776" width="6.42578125" style="1098" customWidth="1"/>
    <col min="777" max="779" width="6.42578125" style="1098" bestFit="1" customWidth="1"/>
    <col min="780" max="780" width="1.5703125" style="1098" customWidth="1"/>
    <col min="781" max="781" width="0" style="1098" hidden="1" customWidth="1"/>
    <col min="782" max="1027" width="9.28515625" style="1098"/>
    <col min="1028" max="1028" width="1.7109375" style="1098" customWidth="1"/>
    <col min="1029" max="1029" width="17.7109375" style="1098" bestFit="1" customWidth="1"/>
    <col min="1030" max="1030" width="29.7109375" style="1098" customWidth="1"/>
    <col min="1031" max="1032" width="6.42578125" style="1098" customWidth="1"/>
    <col min="1033" max="1035" width="6.42578125" style="1098" bestFit="1" customWidth="1"/>
    <col min="1036" max="1036" width="1.5703125" style="1098" customWidth="1"/>
    <col min="1037" max="1037" width="0" style="1098" hidden="1" customWidth="1"/>
    <col min="1038" max="1283" width="9.28515625" style="1098"/>
    <col min="1284" max="1284" width="1.7109375" style="1098" customWidth="1"/>
    <col min="1285" max="1285" width="17.7109375" style="1098" bestFit="1" customWidth="1"/>
    <col min="1286" max="1286" width="29.7109375" style="1098" customWidth="1"/>
    <col min="1287" max="1288" width="6.42578125" style="1098" customWidth="1"/>
    <col min="1289" max="1291" width="6.42578125" style="1098" bestFit="1" customWidth="1"/>
    <col min="1292" max="1292" width="1.5703125" style="1098" customWidth="1"/>
    <col min="1293" max="1293" width="0" style="1098" hidden="1" customWidth="1"/>
    <col min="1294" max="1539" width="9.28515625" style="1098"/>
    <col min="1540" max="1540" width="1.7109375" style="1098" customWidth="1"/>
    <col min="1541" max="1541" width="17.7109375" style="1098" bestFit="1" customWidth="1"/>
    <col min="1542" max="1542" width="29.7109375" style="1098" customWidth="1"/>
    <col min="1543" max="1544" width="6.42578125" style="1098" customWidth="1"/>
    <col min="1545" max="1547" width="6.42578125" style="1098" bestFit="1" customWidth="1"/>
    <col min="1548" max="1548" width="1.5703125" style="1098" customWidth="1"/>
    <col min="1549" max="1549" width="0" style="1098" hidden="1" customWidth="1"/>
    <col min="1550" max="1795" width="9.28515625" style="1098"/>
    <col min="1796" max="1796" width="1.7109375" style="1098" customWidth="1"/>
    <col min="1797" max="1797" width="17.7109375" style="1098" bestFit="1" customWidth="1"/>
    <col min="1798" max="1798" width="29.7109375" style="1098" customWidth="1"/>
    <col min="1799" max="1800" width="6.42578125" style="1098" customWidth="1"/>
    <col min="1801" max="1803" width="6.42578125" style="1098" bestFit="1" customWidth="1"/>
    <col min="1804" max="1804" width="1.5703125" style="1098" customWidth="1"/>
    <col min="1805" max="1805" width="0" style="1098" hidden="1" customWidth="1"/>
    <col min="1806" max="2051" width="9.28515625" style="1098"/>
    <col min="2052" max="2052" width="1.7109375" style="1098" customWidth="1"/>
    <col min="2053" max="2053" width="17.7109375" style="1098" bestFit="1" customWidth="1"/>
    <col min="2054" max="2054" width="29.7109375" style="1098" customWidth="1"/>
    <col min="2055" max="2056" width="6.42578125" style="1098" customWidth="1"/>
    <col min="2057" max="2059" width="6.42578125" style="1098" bestFit="1" customWidth="1"/>
    <col min="2060" max="2060" width="1.5703125" style="1098" customWidth="1"/>
    <col min="2061" max="2061" width="0" style="1098" hidden="1" customWidth="1"/>
    <col min="2062" max="2307" width="9.28515625" style="1098"/>
    <col min="2308" max="2308" width="1.7109375" style="1098" customWidth="1"/>
    <col min="2309" max="2309" width="17.7109375" style="1098" bestFit="1" customWidth="1"/>
    <col min="2310" max="2310" width="29.7109375" style="1098" customWidth="1"/>
    <col min="2311" max="2312" width="6.42578125" style="1098" customWidth="1"/>
    <col min="2313" max="2315" width="6.42578125" style="1098" bestFit="1" customWidth="1"/>
    <col min="2316" max="2316" width="1.5703125" style="1098" customWidth="1"/>
    <col min="2317" max="2317" width="0" style="1098" hidden="1" customWidth="1"/>
    <col min="2318" max="2563" width="9.28515625" style="1098"/>
    <col min="2564" max="2564" width="1.7109375" style="1098" customWidth="1"/>
    <col min="2565" max="2565" width="17.7109375" style="1098" bestFit="1" customWidth="1"/>
    <col min="2566" max="2566" width="29.7109375" style="1098" customWidth="1"/>
    <col min="2567" max="2568" width="6.42578125" style="1098" customWidth="1"/>
    <col min="2569" max="2571" width="6.42578125" style="1098" bestFit="1" customWidth="1"/>
    <col min="2572" max="2572" width="1.5703125" style="1098" customWidth="1"/>
    <col min="2573" max="2573" width="0" style="1098" hidden="1" customWidth="1"/>
    <col min="2574" max="2819" width="9.28515625" style="1098"/>
    <col min="2820" max="2820" width="1.7109375" style="1098" customWidth="1"/>
    <col min="2821" max="2821" width="17.7109375" style="1098" bestFit="1" customWidth="1"/>
    <col min="2822" max="2822" width="29.7109375" style="1098" customWidth="1"/>
    <col min="2823" max="2824" width="6.42578125" style="1098" customWidth="1"/>
    <col min="2825" max="2827" width="6.42578125" style="1098" bestFit="1" customWidth="1"/>
    <col min="2828" max="2828" width="1.5703125" style="1098" customWidth="1"/>
    <col min="2829" max="2829" width="0" style="1098" hidden="1" customWidth="1"/>
    <col min="2830" max="3075" width="9.28515625" style="1098"/>
    <col min="3076" max="3076" width="1.7109375" style="1098" customWidth="1"/>
    <col min="3077" max="3077" width="17.7109375" style="1098" bestFit="1" customWidth="1"/>
    <col min="3078" max="3078" width="29.7109375" style="1098" customWidth="1"/>
    <col min="3079" max="3080" width="6.42578125" style="1098" customWidth="1"/>
    <col min="3081" max="3083" width="6.42578125" style="1098" bestFit="1" customWidth="1"/>
    <col min="3084" max="3084" width="1.5703125" style="1098" customWidth="1"/>
    <col min="3085" max="3085" width="0" style="1098" hidden="1" customWidth="1"/>
    <col min="3086" max="3331" width="9.28515625" style="1098"/>
    <col min="3332" max="3332" width="1.7109375" style="1098" customWidth="1"/>
    <col min="3333" max="3333" width="17.7109375" style="1098" bestFit="1" customWidth="1"/>
    <col min="3334" max="3334" width="29.7109375" style="1098" customWidth="1"/>
    <col min="3335" max="3336" width="6.42578125" style="1098" customWidth="1"/>
    <col min="3337" max="3339" width="6.42578125" style="1098" bestFit="1" customWidth="1"/>
    <col min="3340" max="3340" width="1.5703125" style="1098" customWidth="1"/>
    <col min="3341" max="3341" width="0" style="1098" hidden="1" customWidth="1"/>
    <col min="3342" max="3587" width="9.28515625" style="1098"/>
    <col min="3588" max="3588" width="1.7109375" style="1098" customWidth="1"/>
    <col min="3589" max="3589" width="17.7109375" style="1098" bestFit="1" customWidth="1"/>
    <col min="3590" max="3590" width="29.7109375" style="1098" customWidth="1"/>
    <col min="3591" max="3592" width="6.42578125" style="1098" customWidth="1"/>
    <col min="3593" max="3595" width="6.42578125" style="1098" bestFit="1" customWidth="1"/>
    <col min="3596" max="3596" width="1.5703125" style="1098" customWidth="1"/>
    <col min="3597" max="3597" width="0" style="1098" hidden="1" customWidth="1"/>
    <col min="3598" max="3843" width="9.28515625" style="1098"/>
    <col min="3844" max="3844" width="1.7109375" style="1098" customWidth="1"/>
    <col min="3845" max="3845" width="17.7109375" style="1098" bestFit="1" customWidth="1"/>
    <col min="3846" max="3846" width="29.7109375" style="1098" customWidth="1"/>
    <col min="3847" max="3848" width="6.42578125" style="1098" customWidth="1"/>
    <col min="3849" max="3851" width="6.42578125" style="1098" bestFit="1" customWidth="1"/>
    <col min="3852" max="3852" width="1.5703125" style="1098" customWidth="1"/>
    <col min="3853" max="3853" width="0" style="1098" hidden="1" customWidth="1"/>
    <col min="3854" max="4099" width="9.28515625" style="1098"/>
    <col min="4100" max="4100" width="1.7109375" style="1098" customWidth="1"/>
    <col min="4101" max="4101" width="17.7109375" style="1098" bestFit="1" customWidth="1"/>
    <col min="4102" max="4102" width="29.7109375" style="1098" customWidth="1"/>
    <col min="4103" max="4104" width="6.42578125" style="1098" customWidth="1"/>
    <col min="4105" max="4107" width="6.42578125" style="1098" bestFit="1" customWidth="1"/>
    <col min="4108" max="4108" width="1.5703125" style="1098" customWidth="1"/>
    <col min="4109" max="4109" width="0" style="1098" hidden="1" customWidth="1"/>
    <col min="4110" max="4355" width="9.28515625" style="1098"/>
    <col min="4356" max="4356" width="1.7109375" style="1098" customWidth="1"/>
    <col min="4357" max="4357" width="17.7109375" style="1098" bestFit="1" customWidth="1"/>
    <col min="4358" max="4358" width="29.7109375" style="1098" customWidth="1"/>
    <col min="4359" max="4360" width="6.42578125" style="1098" customWidth="1"/>
    <col min="4361" max="4363" width="6.42578125" style="1098" bestFit="1" customWidth="1"/>
    <col min="4364" max="4364" width="1.5703125" style="1098" customWidth="1"/>
    <col min="4365" max="4365" width="0" style="1098" hidden="1" customWidth="1"/>
    <col min="4366" max="4611" width="9.28515625" style="1098"/>
    <col min="4612" max="4612" width="1.7109375" style="1098" customWidth="1"/>
    <col min="4613" max="4613" width="17.7109375" style="1098" bestFit="1" customWidth="1"/>
    <col min="4614" max="4614" width="29.7109375" style="1098" customWidth="1"/>
    <col min="4615" max="4616" width="6.42578125" style="1098" customWidth="1"/>
    <col min="4617" max="4619" width="6.42578125" style="1098" bestFit="1" customWidth="1"/>
    <col min="4620" max="4620" width="1.5703125" style="1098" customWidth="1"/>
    <col min="4621" max="4621" width="0" style="1098" hidden="1" customWidth="1"/>
    <col min="4622" max="4867" width="9.28515625" style="1098"/>
    <col min="4868" max="4868" width="1.7109375" style="1098" customWidth="1"/>
    <col min="4869" max="4869" width="17.7109375" style="1098" bestFit="1" customWidth="1"/>
    <col min="4870" max="4870" width="29.7109375" style="1098" customWidth="1"/>
    <col min="4871" max="4872" width="6.42578125" style="1098" customWidth="1"/>
    <col min="4873" max="4875" width="6.42578125" style="1098" bestFit="1" customWidth="1"/>
    <col min="4876" max="4876" width="1.5703125" style="1098" customWidth="1"/>
    <col min="4877" max="4877" width="0" style="1098" hidden="1" customWidth="1"/>
    <col min="4878" max="5123" width="9.28515625" style="1098"/>
    <col min="5124" max="5124" width="1.7109375" style="1098" customWidth="1"/>
    <col min="5125" max="5125" width="17.7109375" style="1098" bestFit="1" customWidth="1"/>
    <col min="5126" max="5126" width="29.7109375" style="1098" customWidth="1"/>
    <col min="5127" max="5128" width="6.42578125" style="1098" customWidth="1"/>
    <col min="5129" max="5131" width="6.42578125" style="1098" bestFit="1" customWidth="1"/>
    <col min="5132" max="5132" width="1.5703125" style="1098" customWidth="1"/>
    <col min="5133" max="5133" width="0" style="1098" hidden="1" customWidth="1"/>
    <col min="5134" max="5379" width="9.28515625" style="1098"/>
    <col min="5380" max="5380" width="1.7109375" style="1098" customWidth="1"/>
    <col min="5381" max="5381" width="17.7109375" style="1098" bestFit="1" customWidth="1"/>
    <col min="5382" max="5382" width="29.7109375" style="1098" customWidth="1"/>
    <col min="5383" max="5384" width="6.42578125" style="1098" customWidth="1"/>
    <col min="5385" max="5387" width="6.42578125" style="1098" bestFit="1" customWidth="1"/>
    <col min="5388" max="5388" width="1.5703125" style="1098" customWidth="1"/>
    <col min="5389" max="5389" width="0" style="1098" hidden="1" customWidth="1"/>
    <col min="5390" max="5635" width="9.28515625" style="1098"/>
    <col min="5636" max="5636" width="1.7109375" style="1098" customWidth="1"/>
    <col min="5637" max="5637" width="17.7109375" style="1098" bestFit="1" customWidth="1"/>
    <col min="5638" max="5638" width="29.7109375" style="1098" customWidth="1"/>
    <col min="5639" max="5640" width="6.42578125" style="1098" customWidth="1"/>
    <col min="5641" max="5643" width="6.42578125" style="1098" bestFit="1" customWidth="1"/>
    <col min="5644" max="5644" width="1.5703125" style="1098" customWidth="1"/>
    <col min="5645" max="5645" width="0" style="1098" hidden="1" customWidth="1"/>
    <col min="5646" max="5891" width="9.28515625" style="1098"/>
    <col min="5892" max="5892" width="1.7109375" style="1098" customWidth="1"/>
    <col min="5893" max="5893" width="17.7109375" style="1098" bestFit="1" customWidth="1"/>
    <col min="5894" max="5894" width="29.7109375" style="1098" customWidth="1"/>
    <col min="5895" max="5896" width="6.42578125" style="1098" customWidth="1"/>
    <col min="5897" max="5899" width="6.42578125" style="1098" bestFit="1" customWidth="1"/>
    <col min="5900" max="5900" width="1.5703125" style="1098" customWidth="1"/>
    <col min="5901" max="5901" width="0" style="1098" hidden="1" customWidth="1"/>
    <col min="5902" max="6147" width="9.28515625" style="1098"/>
    <col min="6148" max="6148" width="1.7109375" style="1098" customWidth="1"/>
    <col min="6149" max="6149" width="17.7109375" style="1098" bestFit="1" customWidth="1"/>
    <col min="6150" max="6150" width="29.7109375" style="1098" customWidth="1"/>
    <col min="6151" max="6152" width="6.42578125" style="1098" customWidth="1"/>
    <col min="6153" max="6155" width="6.42578125" style="1098" bestFit="1" customWidth="1"/>
    <col min="6156" max="6156" width="1.5703125" style="1098" customWidth="1"/>
    <col min="6157" max="6157" width="0" style="1098" hidden="1" customWidth="1"/>
    <col min="6158" max="6403" width="9.28515625" style="1098"/>
    <col min="6404" max="6404" width="1.7109375" style="1098" customWidth="1"/>
    <col min="6405" max="6405" width="17.7109375" style="1098" bestFit="1" customWidth="1"/>
    <col min="6406" max="6406" width="29.7109375" style="1098" customWidth="1"/>
    <col min="6407" max="6408" width="6.42578125" style="1098" customWidth="1"/>
    <col min="6409" max="6411" width="6.42578125" style="1098" bestFit="1" customWidth="1"/>
    <col min="6412" max="6412" width="1.5703125" style="1098" customWidth="1"/>
    <col min="6413" max="6413" width="0" style="1098" hidden="1" customWidth="1"/>
    <col min="6414" max="6659" width="9.28515625" style="1098"/>
    <col min="6660" max="6660" width="1.7109375" style="1098" customWidth="1"/>
    <col min="6661" max="6661" width="17.7109375" style="1098" bestFit="1" customWidth="1"/>
    <col min="6662" max="6662" width="29.7109375" style="1098" customWidth="1"/>
    <col min="6663" max="6664" width="6.42578125" style="1098" customWidth="1"/>
    <col min="6665" max="6667" width="6.42578125" style="1098" bestFit="1" customWidth="1"/>
    <col min="6668" max="6668" width="1.5703125" style="1098" customWidth="1"/>
    <col min="6669" max="6669" width="0" style="1098" hidden="1" customWidth="1"/>
    <col min="6670" max="6915" width="9.28515625" style="1098"/>
    <col min="6916" max="6916" width="1.7109375" style="1098" customWidth="1"/>
    <col min="6917" max="6917" width="17.7109375" style="1098" bestFit="1" customWidth="1"/>
    <col min="6918" max="6918" width="29.7109375" style="1098" customWidth="1"/>
    <col min="6919" max="6920" width="6.42578125" style="1098" customWidth="1"/>
    <col min="6921" max="6923" width="6.42578125" style="1098" bestFit="1" customWidth="1"/>
    <col min="6924" max="6924" width="1.5703125" style="1098" customWidth="1"/>
    <col min="6925" max="6925" width="0" style="1098" hidden="1" customWidth="1"/>
    <col min="6926" max="7171" width="9.28515625" style="1098"/>
    <col min="7172" max="7172" width="1.7109375" style="1098" customWidth="1"/>
    <col min="7173" max="7173" width="17.7109375" style="1098" bestFit="1" customWidth="1"/>
    <col min="7174" max="7174" width="29.7109375" style="1098" customWidth="1"/>
    <col min="7175" max="7176" width="6.42578125" style="1098" customWidth="1"/>
    <col min="7177" max="7179" width="6.42578125" style="1098" bestFit="1" customWidth="1"/>
    <col min="7180" max="7180" width="1.5703125" style="1098" customWidth="1"/>
    <col min="7181" max="7181" width="0" style="1098" hidden="1" customWidth="1"/>
    <col min="7182" max="7427" width="9.28515625" style="1098"/>
    <col min="7428" max="7428" width="1.7109375" style="1098" customWidth="1"/>
    <col min="7429" max="7429" width="17.7109375" style="1098" bestFit="1" customWidth="1"/>
    <col min="7430" max="7430" width="29.7109375" style="1098" customWidth="1"/>
    <col min="7431" max="7432" width="6.42578125" style="1098" customWidth="1"/>
    <col min="7433" max="7435" width="6.42578125" style="1098" bestFit="1" customWidth="1"/>
    <col min="7436" max="7436" width="1.5703125" style="1098" customWidth="1"/>
    <col min="7437" max="7437" width="0" style="1098" hidden="1" customWidth="1"/>
    <col min="7438" max="7683" width="9.28515625" style="1098"/>
    <col min="7684" max="7684" width="1.7109375" style="1098" customWidth="1"/>
    <col min="7685" max="7685" width="17.7109375" style="1098" bestFit="1" customWidth="1"/>
    <col min="7686" max="7686" width="29.7109375" style="1098" customWidth="1"/>
    <col min="7687" max="7688" width="6.42578125" style="1098" customWidth="1"/>
    <col min="7689" max="7691" width="6.42578125" style="1098" bestFit="1" customWidth="1"/>
    <col min="7692" max="7692" width="1.5703125" style="1098" customWidth="1"/>
    <col min="7693" max="7693" width="0" style="1098" hidden="1" customWidth="1"/>
    <col min="7694" max="7939" width="9.28515625" style="1098"/>
    <col min="7940" max="7940" width="1.7109375" style="1098" customWidth="1"/>
    <col min="7941" max="7941" width="17.7109375" style="1098" bestFit="1" customWidth="1"/>
    <col min="7942" max="7942" width="29.7109375" style="1098" customWidth="1"/>
    <col min="7943" max="7944" width="6.42578125" style="1098" customWidth="1"/>
    <col min="7945" max="7947" width="6.42578125" style="1098" bestFit="1" customWidth="1"/>
    <col min="7948" max="7948" width="1.5703125" style="1098" customWidth="1"/>
    <col min="7949" max="7949" width="0" style="1098" hidden="1" customWidth="1"/>
    <col min="7950" max="8195" width="9.28515625" style="1098"/>
    <col min="8196" max="8196" width="1.7109375" style="1098" customWidth="1"/>
    <col min="8197" max="8197" width="17.7109375" style="1098" bestFit="1" customWidth="1"/>
    <col min="8198" max="8198" width="29.7109375" style="1098" customWidth="1"/>
    <col min="8199" max="8200" width="6.42578125" style="1098" customWidth="1"/>
    <col min="8201" max="8203" width="6.42578125" style="1098" bestFit="1" customWidth="1"/>
    <col min="8204" max="8204" width="1.5703125" style="1098" customWidth="1"/>
    <col min="8205" max="8205" width="0" style="1098" hidden="1" customWidth="1"/>
    <col min="8206" max="8451" width="9.28515625" style="1098"/>
    <col min="8452" max="8452" width="1.7109375" style="1098" customWidth="1"/>
    <col min="8453" max="8453" width="17.7109375" style="1098" bestFit="1" customWidth="1"/>
    <col min="8454" max="8454" width="29.7109375" style="1098" customWidth="1"/>
    <col min="8455" max="8456" width="6.42578125" style="1098" customWidth="1"/>
    <col min="8457" max="8459" width="6.42578125" style="1098" bestFit="1" customWidth="1"/>
    <col min="8460" max="8460" width="1.5703125" style="1098" customWidth="1"/>
    <col min="8461" max="8461" width="0" style="1098" hidden="1" customWidth="1"/>
    <col min="8462" max="8707" width="9.28515625" style="1098"/>
    <col min="8708" max="8708" width="1.7109375" style="1098" customWidth="1"/>
    <col min="8709" max="8709" width="17.7109375" style="1098" bestFit="1" customWidth="1"/>
    <col min="8710" max="8710" width="29.7109375" style="1098" customWidth="1"/>
    <col min="8711" max="8712" width="6.42578125" style="1098" customWidth="1"/>
    <col min="8713" max="8715" width="6.42578125" style="1098" bestFit="1" customWidth="1"/>
    <col min="8716" max="8716" width="1.5703125" style="1098" customWidth="1"/>
    <col min="8717" max="8717" width="0" style="1098" hidden="1" customWidth="1"/>
    <col min="8718" max="8963" width="9.28515625" style="1098"/>
    <col min="8964" max="8964" width="1.7109375" style="1098" customWidth="1"/>
    <col min="8965" max="8965" width="17.7109375" style="1098" bestFit="1" customWidth="1"/>
    <col min="8966" max="8966" width="29.7109375" style="1098" customWidth="1"/>
    <col min="8967" max="8968" width="6.42578125" style="1098" customWidth="1"/>
    <col min="8969" max="8971" width="6.42578125" style="1098" bestFit="1" customWidth="1"/>
    <col min="8972" max="8972" width="1.5703125" style="1098" customWidth="1"/>
    <col min="8973" max="8973" width="0" style="1098" hidden="1" customWidth="1"/>
    <col min="8974" max="9219" width="9.28515625" style="1098"/>
    <col min="9220" max="9220" width="1.7109375" style="1098" customWidth="1"/>
    <col min="9221" max="9221" width="17.7109375" style="1098" bestFit="1" customWidth="1"/>
    <col min="9222" max="9222" width="29.7109375" style="1098" customWidth="1"/>
    <col min="9223" max="9224" width="6.42578125" style="1098" customWidth="1"/>
    <col min="9225" max="9227" width="6.42578125" style="1098" bestFit="1" customWidth="1"/>
    <col min="9228" max="9228" width="1.5703125" style="1098" customWidth="1"/>
    <col min="9229" max="9229" width="0" style="1098" hidden="1" customWidth="1"/>
    <col min="9230" max="9475" width="9.28515625" style="1098"/>
    <col min="9476" max="9476" width="1.7109375" style="1098" customWidth="1"/>
    <col min="9477" max="9477" width="17.7109375" style="1098" bestFit="1" customWidth="1"/>
    <col min="9478" max="9478" width="29.7109375" style="1098" customWidth="1"/>
    <col min="9479" max="9480" width="6.42578125" style="1098" customWidth="1"/>
    <col min="9481" max="9483" width="6.42578125" style="1098" bestFit="1" customWidth="1"/>
    <col min="9484" max="9484" width="1.5703125" style="1098" customWidth="1"/>
    <col min="9485" max="9485" width="0" style="1098" hidden="1" customWidth="1"/>
    <col min="9486" max="9731" width="9.28515625" style="1098"/>
    <col min="9732" max="9732" width="1.7109375" style="1098" customWidth="1"/>
    <col min="9733" max="9733" width="17.7109375" style="1098" bestFit="1" customWidth="1"/>
    <col min="9734" max="9734" width="29.7109375" style="1098" customWidth="1"/>
    <col min="9735" max="9736" width="6.42578125" style="1098" customWidth="1"/>
    <col min="9737" max="9739" width="6.42578125" style="1098" bestFit="1" customWidth="1"/>
    <col min="9740" max="9740" width="1.5703125" style="1098" customWidth="1"/>
    <col min="9741" max="9741" width="0" style="1098" hidden="1" customWidth="1"/>
    <col min="9742" max="9987" width="9.28515625" style="1098"/>
    <col min="9988" max="9988" width="1.7109375" style="1098" customWidth="1"/>
    <col min="9989" max="9989" width="17.7109375" style="1098" bestFit="1" customWidth="1"/>
    <col min="9990" max="9990" width="29.7109375" style="1098" customWidth="1"/>
    <col min="9991" max="9992" width="6.42578125" style="1098" customWidth="1"/>
    <col min="9993" max="9995" width="6.42578125" style="1098" bestFit="1" customWidth="1"/>
    <col min="9996" max="9996" width="1.5703125" style="1098" customWidth="1"/>
    <col min="9997" max="9997" width="0" style="1098" hidden="1" customWidth="1"/>
    <col min="9998" max="10243" width="9.28515625" style="1098"/>
    <col min="10244" max="10244" width="1.7109375" style="1098" customWidth="1"/>
    <col min="10245" max="10245" width="17.7109375" style="1098" bestFit="1" customWidth="1"/>
    <col min="10246" max="10246" width="29.7109375" style="1098" customWidth="1"/>
    <col min="10247" max="10248" width="6.42578125" style="1098" customWidth="1"/>
    <col min="10249" max="10251" width="6.42578125" style="1098" bestFit="1" customWidth="1"/>
    <col min="10252" max="10252" width="1.5703125" style="1098" customWidth="1"/>
    <col min="10253" max="10253" width="0" style="1098" hidden="1" customWidth="1"/>
    <col min="10254" max="10499" width="9.28515625" style="1098"/>
    <col min="10500" max="10500" width="1.7109375" style="1098" customWidth="1"/>
    <col min="10501" max="10501" width="17.7109375" style="1098" bestFit="1" customWidth="1"/>
    <col min="10502" max="10502" width="29.7109375" style="1098" customWidth="1"/>
    <col min="10503" max="10504" width="6.42578125" style="1098" customWidth="1"/>
    <col min="10505" max="10507" width="6.42578125" style="1098" bestFit="1" customWidth="1"/>
    <col min="10508" max="10508" width="1.5703125" style="1098" customWidth="1"/>
    <col min="10509" max="10509" width="0" style="1098" hidden="1" customWidth="1"/>
    <col min="10510" max="10755" width="9.28515625" style="1098"/>
    <col min="10756" max="10756" width="1.7109375" style="1098" customWidth="1"/>
    <col min="10757" max="10757" width="17.7109375" style="1098" bestFit="1" customWidth="1"/>
    <col min="10758" max="10758" width="29.7109375" style="1098" customWidth="1"/>
    <col min="10759" max="10760" width="6.42578125" style="1098" customWidth="1"/>
    <col min="10761" max="10763" width="6.42578125" style="1098" bestFit="1" customWidth="1"/>
    <col min="10764" max="10764" width="1.5703125" style="1098" customWidth="1"/>
    <col min="10765" max="10765" width="0" style="1098" hidden="1" customWidth="1"/>
    <col min="10766" max="11011" width="9.28515625" style="1098"/>
    <col min="11012" max="11012" width="1.7109375" style="1098" customWidth="1"/>
    <col min="11013" max="11013" width="17.7109375" style="1098" bestFit="1" customWidth="1"/>
    <col min="11014" max="11014" width="29.7109375" style="1098" customWidth="1"/>
    <col min="11015" max="11016" width="6.42578125" style="1098" customWidth="1"/>
    <col min="11017" max="11019" width="6.42578125" style="1098" bestFit="1" customWidth="1"/>
    <col min="11020" max="11020" width="1.5703125" style="1098" customWidth="1"/>
    <col min="11021" max="11021" width="0" style="1098" hidden="1" customWidth="1"/>
    <col min="11022" max="11267" width="9.28515625" style="1098"/>
    <col min="11268" max="11268" width="1.7109375" style="1098" customWidth="1"/>
    <col min="11269" max="11269" width="17.7109375" style="1098" bestFit="1" customWidth="1"/>
    <col min="11270" max="11270" width="29.7109375" style="1098" customWidth="1"/>
    <col min="11271" max="11272" width="6.42578125" style="1098" customWidth="1"/>
    <col min="11273" max="11275" width="6.42578125" style="1098" bestFit="1" customWidth="1"/>
    <col min="11276" max="11276" width="1.5703125" style="1098" customWidth="1"/>
    <col min="11277" max="11277" width="0" style="1098" hidden="1" customWidth="1"/>
    <col min="11278" max="11523" width="9.28515625" style="1098"/>
    <col min="11524" max="11524" width="1.7109375" style="1098" customWidth="1"/>
    <col min="11525" max="11525" width="17.7109375" style="1098" bestFit="1" customWidth="1"/>
    <col min="11526" max="11526" width="29.7109375" style="1098" customWidth="1"/>
    <col min="11527" max="11528" width="6.42578125" style="1098" customWidth="1"/>
    <col min="11529" max="11531" width="6.42578125" style="1098" bestFit="1" customWidth="1"/>
    <col min="11532" max="11532" width="1.5703125" style="1098" customWidth="1"/>
    <col min="11533" max="11533" width="0" style="1098" hidden="1" customWidth="1"/>
    <col min="11534" max="11779" width="9.28515625" style="1098"/>
    <col min="11780" max="11780" width="1.7109375" style="1098" customWidth="1"/>
    <col min="11781" max="11781" width="17.7109375" style="1098" bestFit="1" customWidth="1"/>
    <col min="11782" max="11782" width="29.7109375" style="1098" customWidth="1"/>
    <col min="11783" max="11784" width="6.42578125" style="1098" customWidth="1"/>
    <col min="11785" max="11787" width="6.42578125" style="1098" bestFit="1" customWidth="1"/>
    <col min="11788" max="11788" width="1.5703125" style="1098" customWidth="1"/>
    <col min="11789" max="11789" width="0" style="1098" hidden="1" customWidth="1"/>
    <col min="11790" max="12035" width="9.28515625" style="1098"/>
    <col min="12036" max="12036" width="1.7109375" style="1098" customWidth="1"/>
    <col min="12037" max="12037" width="17.7109375" style="1098" bestFit="1" customWidth="1"/>
    <col min="12038" max="12038" width="29.7109375" style="1098" customWidth="1"/>
    <col min="12039" max="12040" width="6.42578125" style="1098" customWidth="1"/>
    <col min="12041" max="12043" width="6.42578125" style="1098" bestFit="1" customWidth="1"/>
    <col min="12044" max="12044" width="1.5703125" style="1098" customWidth="1"/>
    <col min="12045" max="12045" width="0" style="1098" hidden="1" customWidth="1"/>
    <col min="12046" max="12291" width="9.28515625" style="1098"/>
    <col min="12292" max="12292" width="1.7109375" style="1098" customWidth="1"/>
    <col min="12293" max="12293" width="17.7109375" style="1098" bestFit="1" customWidth="1"/>
    <col min="12294" max="12294" width="29.7109375" style="1098" customWidth="1"/>
    <col min="12295" max="12296" width="6.42578125" style="1098" customWidth="1"/>
    <col min="12297" max="12299" width="6.42578125" style="1098" bestFit="1" customWidth="1"/>
    <col min="12300" max="12300" width="1.5703125" style="1098" customWidth="1"/>
    <col min="12301" max="12301" width="0" style="1098" hidden="1" customWidth="1"/>
    <col min="12302" max="12547" width="9.28515625" style="1098"/>
    <col min="12548" max="12548" width="1.7109375" style="1098" customWidth="1"/>
    <col min="12549" max="12549" width="17.7109375" style="1098" bestFit="1" customWidth="1"/>
    <col min="12550" max="12550" width="29.7109375" style="1098" customWidth="1"/>
    <col min="12551" max="12552" width="6.42578125" style="1098" customWidth="1"/>
    <col min="12553" max="12555" width="6.42578125" style="1098" bestFit="1" customWidth="1"/>
    <col min="12556" max="12556" width="1.5703125" style="1098" customWidth="1"/>
    <col min="12557" max="12557" width="0" style="1098" hidden="1" customWidth="1"/>
    <col min="12558" max="12803" width="9.28515625" style="1098"/>
    <col min="12804" max="12804" width="1.7109375" style="1098" customWidth="1"/>
    <col min="12805" max="12805" width="17.7109375" style="1098" bestFit="1" customWidth="1"/>
    <col min="12806" max="12806" width="29.7109375" style="1098" customWidth="1"/>
    <col min="12807" max="12808" width="6.42578125" style="1098" customWidth="1"/>
    <col min="12809" max="12811" width="6.42578125" style="1098" bestFit="1" customWidth="1"/>
    <col min="12812" max="12812" width="1.5703125" style="1098" customWidth="1"/>
    <col min="12813" max="12813" width="0" style="1098" hidden="1" customWidth="1"/>
    <col min="12814" max="13059" width="9.28515625" style="1098"/>
    <col min="13060" max="13060" width="1.7109375" style="1098" customWidth="1"/>
    <col min="13061" max="13061" width="17.7109375" style="1098" bestFit="1" customWidth="1"/>
    <col min="13062" max="13062" width="29.7109375" style="1098" customWidth="1"/>
    <col min="13063" max="13064" width="6.42578125" style="1098" customWidth="1"/>
    <col min="13065" max="13067" width="6.42578125" style="1098" bestFit="1" customWidth="1"/>
    <col min="13068" max="13068" width="1.5703125" style="1098" customWidth="1"/>
    <col min="13069" max="13069" width="0" style="1098" hidden="1" customWidth="1"/>
    <col min="13070" max="13315" width="9.28515625" style="1098"/>
    <col min="13316" max="13316" width="1.7109375" style="1098" customWidth="1"/>
    <col min="13317" max="13317" width="17.7109375" style="1098" bestFit="1" customWidth="1"/>
    <col min="13318" max="13318" width="29.7109375" style="1098" customWidth="1"/>
    <col min="13319" max="13320" width="6.42578125" style="1098" customWidth="1"/>
    <col min="13321" max="13323" width="6.42578125" style="1098" bestFit="1" customWidth="1"/>
    <col min="13324" max="13324" width="1.5703125" style="1098" customWidth="1"/>
    <col min="13325" max="13325" width="0" style="1098" hidden="1" customWidth="1"/>
    <col min="13326" max="13571" width="9.28515625" style="1098"/>
    <col min="13572" max="13572" width="1.7109375" style="1098" customWidth="1"/>
    <col min="13573" max="13573" width="17.7109375" style="1098" bestFit="1" customWidth="1"/>
    <col min="13574" max="13574" width="29.7109375" style="1098" customWidth="1"/>
    <col min="13575" max="13576" width="6.42578125" style="1098" customWidth="1"/>
    <col min="13577" max="13579" width="6.42578125" style="1098" bestFit="1" customWidth="1"/>
    <col min="13580" max="13580" width="1.5703125" style="1098" customWidth="1"/>
    <col min="13581" max="13581" width="0" style="1098" hidden="1" customWidth="1"/>
    <col min="13582" max="13827" width="9.28515625" style="1098"/>
    <col min="13828" max="13828" width="1.7109375" style="1098" customWidth="1"/>
    <col min="13829" max="13829" width="17.7109375" style="1098" bestFit="1" customWidth="1"/>
    <col min="13830" max="13830" width="29.7109375" style="1098" customWidth="1"/>
    <col min="13831" max="13832" width="6.42578125" style="1098" customWidth="1"/>
    <col min="13833" max="13835" width="6.42578125" style="1098" bestFit="1" customWidth="1"/>
    <col min="13836" max="13836" width="1.5703125" style="1098" customWidth="1"/>
    <col min="13837" max="13837" width="0" style="1098" hidden="1" customWidth="1"/>
    <col min="13838" max="14083" width="9.28515625" style="1098"/>
    <col min="14084" max="14084" width="1.7109375" style="1098" customWidth="1"/>
    <col min="14085" max="14085" width="17.7109375" style="1098" bestFit="1" customWidth="1"/>
    <col min="14086" max="14086" width="29.7109375" style="1098" customWidth="1"/>
    <col min="14087" max="14088" width="6.42578125" style="1098" customWidth="1"/>
    <col min="14089" max="14091" width="6.42578125" style="1098" bestFit="1" customWidth="1"/>
    <col min="14092" max="14092" width="1.5703125" style="1098" customWidth="1"/>
    <col min="14093" max="14093" width="0" style="1098" hidden="1" customWidth="1"/>
    <col min="14094" max="14339" width="9.28515625" style="1098"/>
    <col min="14340" max="14340" width="1.7109375" style="1098" customWidth="1"/>
    <col min="14341" max="14341" width="17.7109375" style="1098" bestFit="1" customWidth="1"/>
    <col min="14342" max="14342" width="29.7109375" style="1098" customWidth="1"/>
    <col min="14343" max="14344" width="6.42578125" style="1098" customWidth="1"/>
    <col min="14345" max="14347" width="6.42578125" style="1098" bestFit="1" customWidth="1"/>
    <col min="14348" max="14348" width="1.5703125" style="1098" customWidth="1"/>
    <col min="14349" max="14349" width="0" style="1098" hidden="1" customWidth="1"/>
    <col min="14350" max="14595" width="9.28515625" style="1098"/>
    <col min="14596" max="14596" width="1.7109375" style="1098" customWidth="1"/>
    <col min="14597" max="14597" width="17.7109375" style="1098" bestFit="1" customWidth="1"/>
    <col min="14598" max="14598" width="29.7109375" style="1098" customWidth="1"/>
    <col min="14599" max="14600" width="6.42578125" style="1098" customWidth="1"/>
    <col min="14601" max="14603" width="6.42578125" style="1098" bestFit="1" customWidth="1"/>
    <col min="14604" max="14604" width="1.5703125" style="1098" customWidth="1"/>
    <col min="14605" max="14605" width="0" style="1098" hidden="1" customWidth="1"/>
    <col min="14606" max="14851" width="9.28515625" style="1098"/>
    <col min="14852" max="14852" width="1.7109375" style="1098" customWidth="1"/>
    <col min="14853" max="14853" width="17.7109375" style="1098" bestFit="1" customWidth="1"/>
    <col min="14854" max="14854" width="29.7109375" style="1098" customWidth="1"/>
    <col min="14855" max="14856" width="6.42578125" style="1098" customWidth="1"/>
    <col min="14857" max="14859" width="6.42578125" style="1098" bestFit="1" customWidth="1"/>
    <col min="14860" max="14860" width="1.5703125" style="1098" customWidth="1"/>
    <col min="14861" max="14861" width="0" style="1098" hidden="1" customWidth="1"/>
    <col min="14862" max="15107" width="9.28515625" style="1098"/>
    <col min="15108" max="15108" width="1.7109375" style="1098" customWidth="1"/>
    <col min="15109" max="15109" width="17.7109375" style="1098" bestFit="1" customWidth="1"/>
    <col min="15110" max="15110" width="29.7109375" style="1098" customWidth="1"/>
    <col min="15111" max="15112" width="6.42578125" style="1098" customWidth="1"/>
    <col min="15113" max="15115" width="6.42578125" style="1098" bestFit="1" customWidth="1"/>
    <col min="15116" max="15116" width="1.5703125" style="1098" customWidth="1"/>
    <col min="15117" max="15117" width="0" style="1098" hidden="1" customWidth="1"/>
    <col min="15118" max="15363" width="9.28515625" style="1098"/>
    <col min="15364" max="15364" width="1.7109375" style="1098" customWidth="1"/>
    <col min="15365" max="15365" width="17.7109375" style="1098" bestFit="1" customWidth="1"/>
    <col min="15366" max="15366" width="29.7109375" style="1098" customWidth="1"/>
    <col min="15367" max="15368" width="6.42578125" style="1098" customWidth="1"/>
    <col min="15369" max="15371" width="6.42578125" style="1098" bestFit="1" customWidth="1"/>
    <col min="15372" max="15372" width="1.5703125" style="1098" customWidth="1"/>
    <col min="15373" max="15373" width="0" style="1098" hidden="1" customWidth="1"/>
    <col min="15374" max="15619" width="9.28515625" style="1098"/>
    <col min="15620" max="15620" width="1.7109375" style="1098" customWidth="1"/>
    <col min="15621" max="15621" width="17.7109375" style="1098" bestFit="1" customWidth="1"/>
    <col min="15622" max="15622" width="29.7109375" style="1098" customWidth="1"/>
    <col min="15623" max="15624" width="6.42578125" style="1098" customWidth="1"/>
    <col min="15625" max="15627" width="6.42578125" style="1098" bestFit="1" customWidth="1"/>
    <col min="15628" max="15628" width="1.5703125" style="1098" customWidth="1"/>
    <col min="15629" max="15629" width="0" style="1098" hidden="1" customWidth="1"/>
    <col min="15630" max="15875" width="9.28515625" style="1098"/>
    <col min="15876" max="15876" width="1.7109375" style="1098" customWidth="1"/>
    <col min="15877" max="15877" width="17.7109375" style="1098" bestFit="1" customWidth="1"/>
    <col min="15878" max="15878" width="29.7109375" style="1098" customWidth="1"/>
    <col min="15879" max="15880" width="6.42578125" style="1098" customWidth="1"/>
    <col min="15881" max="15883" width="6.42578125" style="1098" bestFit="1" customWidth="1"/>
    <col min="15884" max="15884" width="1.5703125" style="1098" customWidth="1"/>
    <col min="15885" max="15885" width="0" style="1098" hidden="1" customWidth="1"/>
    <col min="15886" max="16131" width="9.28515625" style="1098"/>
    <col min="16132" max="16132" width="1.7109375" style="1098" customWidth="1"/>
    <col min="16133" max="16133" width="17.7109375" style="1098" bestFit="1" customWidth="1"/>
    <col min="16134" max="16134" width="29.7109375" style="1098" customWidth="1"/>
    <col min="16135" max="16136" width="6.42578125" style="1098" customWidth="1"/>
    <col min="16137" max="16139" width="6.42578125" style="1098" bestFit="1" customWidth="1"/>
    <col min="16140" max="16140" width="1.5703125" style="1098" customWidth="1"/>
    <col min="16141" max="16141" width="0" style="1098" hidden="1" customWidth="1"/>
    <col min="16142" max="16384" width="9.28515625" style="1098"/>
  </cols>
  <sheetData>
    <row r="1" spans="1:13" ht="37.15" customHeight="1">
      <c r="A1" s="1496" t="s">
        <v>648</v>
      </c>
      <c r="B1" s="1496"/>
      <c r="C1" s="1496"/>
      <c r="D1" s="1496"/>
      <c r="E1" s="1496"/>
      <c r="F1" s="1496"/>
      <c r="G1" s="1496"/>
      <c r="H1" s="1496"/>
      <c r="I1" s="1496"/>
      <c r="J1" s="1496"/>
      <c r="K1" s="1496"/>
      <c r="L1" s="1496"/>
      <c r="M1" s="1097"/>
    </row>
    <row r="2" spans="1:13" ht="12" customHeight="1">
      <c r="A2" s="1097"/>
      <c r="B2" s="1099"/>
      <c r="C2" s="1100"/>
      <c r="D2" s="1100"/>
      <c r="E2" s="1100"/>
      <c r="F2" s="1100"/>
      <c r="G2" s="1100"/>
      <c r="H2" s="1100"/>
      <c r="I2" s="1100"/>
      <c r="J2" s="1100"/>
      <c r="K2" s="1100"/>
      <c r="L2" s="1100"/>
      <c r="M2" s="1101"/>
    </row>
    <row r="3" spans="1:13" ht="12" customHeight="1">
      <c r="A3" s="1102" t="s">
        <v>649</v>
      </c>
      <c r="B3" s="1103" t="s">
        <v>686</v>
      </c>
      <c r="C3" s="1104"/>
      <c r="D3" s="1105"/>
      <c r="E3" s="1105"/>
      <c r="F3" s="1105"/>
      <c r="G3" s="1105"/>
      <c r="H3" s="1104"/>
      <c r="I3" s="1105"/>
      <c r="J3" s="1105"/>
      <c r="K3" s="1105"/>
      <c r="L3" s="1105"/>
      <c r="M3" s="1101"/>
    </row>
    <row r="4" spans="1:13" ht="12.75" customHeight="1">
      <c r="A4" s="1102"/>
      <c r="B4" s="1106"/>
      <c r="C4" s="1104"/>
      <c r="D4" s="1105"/>
      <c r="E4" s="1105"/>
      <c r="F4" s="1105"/>
      <c r="G4" s="1105"/>
      <c r="H4" s="1104"/>
      <c r="I4" s="1105"/>
      <c r="J4" s="1105"/>
      <c r="K4" s="1105"/>
      <c r="L4" s="1105"/>
      <c r="M4" s="1101"/>
    </row>
    <row r="5" spans="1:13" ht="12.75" customHeight="1">
      <c r="A5" s="1102"/>
      <c r="B5" s="1106"/>
      <c r="C5" s="1497" t="s">
        <v>653</v>
      </c>
      <c r="D5" s="1498"/>
      <c r="E5" s="1498"/>
      <c r="F5" s="1498"/>
      <c r="G5" s="1499"/>
      <c r="H5" s="1500" t="s">
        <v>150</v>
      </c>
      <c r="I5" s="1501"/>
      <c r="J5" s="1501"/>
      <c r="K5" s="1501"/>
      <c r="L5" s="1502"/>
      <c r="M5" s="1101"/>
    </row>
    <row r="6" spans="1:13" ht="12.75" customHeight="1">
      <c r="A6" s="1102"/>
      <c r="B6" s="1106"/>
      <c r="C6" s="1104"/>
      <c r="D6" s="1105"/>
      <c r="E6" s="1105"/>
      <c r="F6" s="1105"/>
      <c r="G6" s="1105"/>
      <c r="H6" s="1104"/>
      <c r="I6" s="1105"/>
      <c r="J6" s="1105"/>
      <c r="K6" s="1105"/>
      <c r="L6" s="1105"/>
      <c r="M6" s="1101"/>
    </row>
    <row r="7" spans="1:13" ht="12.75" customHeight="1">
      <c r="A7" s="1102"/>
      <c r="B7" s="1102"/>
      <c r="C7" s="1107">
        <v>2015</v>
      </c>
      <c r="D7" s="1108">
        <v>2016</v>
      </c>
      <c r="E7" s="1108">
        <v>2017</v>
      </c>
      <c r="F7" s="1108">
        <v>2018</v>
      </c>
      <c r="G7" s="1109">
        <v>2019</v>
      </c>
      <c r="H7" s="1107">
        <v>2020</v>
      </c>
      <c r="I7" s="1108">
        <v>2021</v>
      </c>
      <c r="J7" s="1108">
        <v>2022</v>
      </c>
      <c r="K7" s="1108">
        <v>2023</v>
      </c>
      <c r="L7" s="1109">
        <v>2024</v>
      </c>
      <c r="M7" s="1110"/>
    </row>
    <row r="8" spans="1:13" ht="12.75" customHeight="1">
      <c r="A8" s="1102"/>
      <c r="B8" s="1097"/>
      <c r="C8" s="1111"/>
      <c r="D8" s="1111"/>
      <c r="E8" s="1111"/>
      <c r="F8" s="1111"/>
      <c r="G8" s="1111"/>
      <c r="H8" s="1111"/>
      <c r="I8" s="1111"/>
      <c r="J8" s="1111"/>
      <c r="K8" s="1111"/>
      <c r="L8" s="1111"/>
      <c r="M8" s="1097"/>
    </row>
    <row r="9" spans="1:13" ht="12.75" customHeight="1">
      <c r="A9" s="1112" t="s">
        <v>650</v>
      </c>
      <c r="B9" s="1113" t="s">
        <v>651</v>
      </c>
      <c r="C9" s="1114"/>
      <c r="D9" s="1114"/>
      <c r="E9" s="1114"/>
      <c r="F9" s="1114"/>
      <c r="G9" s="1114"/>
      <c r="H9" s="1114"/>
      <c r="I9" s="1114"/>
      <c r="J9" s="1114"/>
      <c r="K9" s="1114"/>
      <c r="L9" s="1115"/>
      <c r="M9" s="1115"/>
    </row>
    <row r="10" spans="1:13" ht="12.75" customHeight="1">
      <c r="A10" s="1116" t="s">
        <v>687</v>
      </c>
      <c r="B10" s="1116" t="s">
        <v>688</v>
      </c>
      <c r="C10" s="1117">
        <v>1</v>
      </c>
      <c r="D10" s="1118">
        <v>1</v>
      </c>
      <c r="E10" s="1118">
        <v>1</v>
      </c>
      <c r="F10" s="1118">
        <v>1</v>
      </c>
      <c r="G10" s="1119">
        <v>1</v>
      </c>
      <c r="H10" s="1117">
        <v>1</v>
      </c>
      <c r="I10" s="1118">
        <v>1</v>
      </c>
      <c r="J10" s="1134">
        <v>1</v>
      </c>
      <c r="K10" s="1134">
        <v>1</v>
      </c>
      <c r="L10" s="1135">
        <v>1</v>
      </c>
      <c r="M10" s="1120"/>
    </row>
    <row r="11" spans="1:13" ht="12.75" customHeight="1">
      <c r="A11" s="1121" t="s">
        <v>689</v>
      </c>
      <c r="B11" s="1121" t="s">
        <v>690</v>
      </c>
      <c r="C11" s="1122">
        <v>1</v>
      </c>
      <c r="D11" s="1123">
        <v>1</v>
      </c>
      <c r="E11" s="1123">
        <v>1</v>
      </c>
      <c r="F11" s="1123">
        <v>1</v>
      </c>
      <c r="G11" s="1124">
        <v>1</v>
      </c>
      <c r="H11" s="1122">
        <v>1</v>
      </c>
      <c r="I11" s="1123">
        <v>1</v>
      </c>
      <c r="J11" s="1147">
        <v>1</v>
      </c>
      <c r="K11" s="1147">
        <v>1</v>
      </c>
      <c r="L11" s="1148">
        <v>1</v>
      </c>
      <c r="M11" s="1120"/>
    </row>
    <row r="12" spans="1:13" ht="12.75" customHeight="1">
      <c r="A12" s="1121" t="s">
        <v>691</v>
      </c>
      <c r="B12" s="1121" t="s">
        <v>692</v>
      </c>
      <c r="C12" s="1122">
        <v>1</v>
      </c>
      <c r="D12" s="1123">
        <v>1</v>
      </c>
      <c r="E12" s="1123">
        <v>1</v>
      </c>
      <c r="F12" s="1123">
        <v>1</v>
      </c>
      <c r="G12" s="1124">
        <v>1</v>
      </c>
      <c r="H12" s="1122">
        <v>1</v>
      </c>
      <c r="I12" s="1123">
        <v>1</v>
      </c>
      <c r="J12" s="1147">
        <v>1</v>
      </c>
      <c r="K12" s="1147">
        <v>1</v>
      </c>
      <c r="L12" s="1148">
        <v>1</v>
      </c>
      <c r="M12" s="1120"/>
    </row>
    <row r="13" spans="1:13" ht="12.75" customHeight="1">
      <c r="A13" s="1125" t="s">
        <v>693</v>
      </c>
      <c r="B13" s="1125" t="s">
        <v>694</v>
      </c>
      <c r="C13" s="1122">
        <v>1</v>
      </c>
      <c r="D13" s="1123">
        <v>1</v>
      </c>
      <c r="E13" s="1123">
        <v>1</v>
      </c>
      <c r="F13" s="1123">
        <v>1</v>
      </c>
      <c r="G13" s="1124">
        <v>1</v>
      </c>
      <c r="H13" s="1122">
        <v>1</v>
      </c>
      <c r="I13" s="1123">
        <v>1</v>
      </c>
      <c r="J13" s="1147">
        <v>1</v>
      </c>
      <c r="K13" s="1147">
        <v>1</v>
      </c>
      <c r="L13" s="1148">
        <v>1</v>
      </c>
      <c r="M13" s="1120"/>
    </row>
    <row r="14" spans="1:13" ht="12.75" customHeight="1">
      <c r="A14" s="1125"/>
      <c r="B14" s="1125"/>
      <c r="C14" s="1122"/>
      <c r="D14" s="1123"/>
      <c r="E14" s="1123"/>
      <c r="F14" s="1123"/>
      <c r="G14" s="1124"/>
      <c r="H14" s="1122"/>
      <c r="I14" s="1123"/>
      <c r="J14" s="1147"/>
      <c r="K14" s="1147"/>
      <c r="L14" s="1148"/>
      <c r="M14" s="1120"/>
    </row>
    <row r="15" spans="1:13" ht="12.75" customHeight="1">
      <c r="A15" s="1125"/>
      <c r="B15" s="1125"/>
      <c r="C15" s="1122"/>
      <c r="D15" s="1123"/>
      <c r="E15" s="1123"/>
      <c r="F15" s="1123"/>
      <c r="G15" s="1124"/>
      <c r="H15" s="1122"/>
      <c r="I15" s="1123"/>
      <c r="J15" s="1147"/>
      <c r="K15" s="1147"/>
      <c r="L15" s="1148"/>
      <c r="M15" s="1120"/>
    </row>
    <row r="16" spans="1:13" ht="12.75" customHeight="1">
      <c r="A16" s="1125"/>
      <c r="B16" s="1125"/>
      <c r="C16" s="1122"/>
      <c r="D16" s="1123"/>
      <c r="E16" s="1123"/>
      <c r="F16" s="1123"/>
      <c r="G16" s="1124"/>
      <c r="H16" s="1122"/>
      <c r="I16" s="1123"/>
      <c r="J16" s="1147"/>
      <c r="K16" s="1147"/>
      <c r="L16" s="1148"/>
      <c r="M16" s="1120"/>
    </row>
    <row r="17" spans="1:13" ht="12.75" customHeight="1">
      <c r="A17" s="1125"/>
      <c r="B17" s="1125"/>
      <c r="C17" s="1122"/>
      <c r="D17" s="1123"/>
      <c r="E17" s="1123"/>
      <c r="F17" s="1123"/>
      <c r="G17" s="1124"/>
      <c r="H17" s="1122"/>
      <c r="I17" s="1123"/>
      <c r="J17" s="1147"/>
      <c r="K17" s="1147"/>
      <c r="L17" s="1148"/>
      <c r="M17" s="1126"/>
    </row>
    <row r="18" spans="1:13" ht="12.75" customHeight="1">
      <c r="A18" s="1125"/>
      <c r="B18" s="1125"/>
      <c r="C18" s="1122"/>
      <c r="D18" s="1123"/>
      <c r="E18" s="1123"/>
      <c r="F18" s="1123"/>
      <c r="G18" s="1124"/>
      <c r="H18" s="1122"/>
      <c r="I18" s="1123"/>
      <c r="J18" s="1147"/>
      <c r="K18" s="1147"/>
      <c r="L18" s="1148"/>
      <c r="M18" s="1126"/>
    </row>
    <row r="19" spans="1:13" ht="12.75" customHeight="1">
      <c r="A19" s="1125"/>
      <c r="B19" s="1125"/>
      <c r="C19" s="1122"/>
      <c r="D19" s="1123"/>
      <c r="E19" s="1123"/>
      <c r="F19" s="1123"/>
      <c r="G19" s="1124"/>
      <c r="H19" s="1122"/>
      <c r="I19" s="1123"/>
      <c r="J19" s="1147"/>
      <c r="K19" s="1147"/>
      <c r="L19" s="1148"/>
      <c r="M19" s="1126"/>
    </row>
    <row r="20" spans="1:13" ht="12.75" customHeight="1">
      <c r="A20" s="1125"/>
      <c r="B20" s="1127"/>
      <c r="C20" s="1122"/>
      <c r="D20" s="1123"/>
      <c r="E20" s="1123"/>
      <c r="F20" s="1123"/>
      <c r="G20" s="1124"/>
      <c r="H20" s="1122"/>
      <c r="I20" s="1123"/>
      <c r="J20" s="1147"/>
      <c r="K20" s="1147"/>
      <c r="L20" s="1148"/>
      <c r="M20" s="1126"/>
    </row>
    <row r="21" spans="1:13" ht="12.75" customHeight="1">
      <c r="A21" s="1125"/>
      <c r="B21" s="1127"/>
      <c r="C21" s="1122"/>
      <c r="D21" s="1123"/>
      <c r="E21" s="1123"/>
      <c r="F21" s="1123"/>
      <c r="G21" s="1124"/>
      <c r="H21" s="1122"/>
      <c r="I21" s="1123"/>
      <c r="J21" s="1147"/>
      <c r="K21" s="1147"/>
      <c r="L21" s="1148"/>
      <c r="M21" s="1126"/>
    </row>
    <row r="22" spans="1:13" ht="12.75" customHeight="1">
      <c r="A22" s="1125"/>
      <c r="B22" s="1127"/>
      <c r="C22" s="1122"/>
      <c r="D22" s="1123"/>
      <c r="E22" s="1123"/>
      <c r="F22" s="1123"/>
      <c r="G22" s="1124"/>
      <c r="H22" s="1122"/>
      <c r="I22" s="1123"/>
      <c r="J22" s="1147"/>
      <c r="K22" s="1147"/>
      <c r="L22" s="1148"/>
      <c r="M22" s="1126"/>
    </row>
    <row r="23" spans="1:13" ht="12.75" customHeight="1">
      <c r="A23" s="1125"/>
      <c r="B23" s="1125"/>
      <c r="C23" s="1122"/>
      <c r="D23" s="1123"/>
      <c r="E23" s="1123"/>
      <c r="F23" s="1123"/>
      <c r="G23" s="1124"/>
      <c r="H23" s="1122"/>
      <c r="I23" s="1123"/>
      <c r="J23" s="1147"/>
      <c r="K23" s="1147"/>
      <c r="L23" s="1148"/>
      <c r="M23" s="1126"/>
    </row>
    <row r="24" spans="1:13" ht="12.75" customHeight="1">
      <c r="A24" s="1125"/>
      <c r="B24" s="1125"/>
      <c r="C24" s="1122"/>
      <c r="D24" s="1123"/>
      <c r="E24" s="1123"/>
      <c r="F24" s="1123"/>
      <c r="G24" s="1124"/>
      <c r="H24" s="1122"/>
      <c r="I24" s="1123"/>
      <c r="J24" s="1147"/>
      <c r="K24" s="1147"/>
      <c r="L24" s="1148"/>
      <c r="M24" s="1126"/>
    </row>
    <row r="25" spans="1:13" ht="12.75" customHeight="1">
      <c r="A25" s="1125"/>
      <c r="B25" s="1125"/>
      <c r="C25" s="1122"/>
      <c r="D25" s="1123"/>
      <c r="E25" s="1123"/>
      <c r="F25" s="1123"/>
      <c r="G25" s="1124"/>
      <c r="H25" s="1122"/>
      <c r="I25" s="1123"/>
      <c r="J25" s="1147"/>
      <c r="K25" s="1147"/>
      <c r="L25" s="1148"/>
      <c r="M25" s="1126"/>
    </row>
    <row r="26" spans="1:13" ht="12.75" customHeight="1">
      <c r="A26" s="1125"/>
      <c r="B26" s="1125"/>
      <c r="C26" s="1122"/>
      <c r="D26" s="1123"/>
      <c r="E26" s="1123"/>
      <c r="F26" s="1123"/>
      <c r="G26" s="1124"/>
      <c r="H26" s="1122"/>
      <c r="I26" s="1123"/>
      <c r="J26" s="1147"/>
      <c r="K26" s="1147"/>
      <c r="L26" s="1148"/>
      <c r="M26" s="1126"/>
    </row>
    <row r="27" spans="1:13" ht="12.75" customHeight="1">
      <c r="A27" s="1125"/>
      <c r="B27" s="1125"/>
      <c r="C27" s="1122"/>
      <c r="D27" s="1123"/>
      <c r="E27" s="1123"/>
      <c r="F27" s="1123"/>
      <c r="G27" s="1124"/>
      <c r="H27" s="1122"/>
      <c r="I27" s="1123"/>
      <c r="J27" s="1147"/>
      <c r="K27" s="1147"/>
      <c r="L27" s="1148"/>
      <c r="M27" s="1126"/>
    </row>
    <row r="28" spans="1:13" ht="12.75" customHeight="1">
      <c r="A28" s="1125"/>
      <c r="B28" s="1125"/>
      <c r="C28" s="1122"/>
      <c r="D28" s="1123"/>
      <c r="E28" s="1123"/>
      <c r="F28" s="1123"/>
      <c r="G28" s="1124"/>
      <c r="H28" s="1122"/>
      <c r="I28" s="1123"/>
      <c r="J28" s="1147"/>
      <c r="K28" s="1147"/>
      <c r="L28" s="1148"/>
      <c r="M28" s="1126"/>
    </row>
    <row r="29" spans="1:13" ht="6" customHeight="1">
      <c r="A29" s="1125"/>
      <c r="B29" s="1125"/>
      <c r="C29" s="1122"/>
      <c r="D29" s="1123"/>
      <c r="E29" s="1123"/>
      <c r="F29" s="1123"/>
      <c r="G29" s="1124"/>
      <c r="H29" s="1122"/>
      <c r="I29" s="1123"/>
      <c r="J29" s="1147"/>
      <c r="K29" s="1147"/>
      <c r="L29" s="1148"/>
      <c r="M29" s="1126"/>
    </row>
    <row r="30" spans="1:13" ht="12" customHeight="1">
      <c r="A30" s="1125"/>
      <c r="B30" s="1125"/>
      <c r="C30" s="1122"/>
      <c r="D30" s="1123"/>
      <c r="E30" s="1123"/>
      <c r="F30" s="1123"/>
      <c r="G30" s="1124"/>
      <c r="H30" s="1122"/>
      <c r="I30" s="1123"/>
      <c r="J30" s="1147"/>
      <c r="K30" s="1147"/>
      <c r="L30" s="1148"/>
      <c r="M30" s="1126"/>
    </row>
    <row r="31" spans="1:13" ht="12" customHeight="1">
      <c r="A31" s="1125"/>
      <c r="B31" s="1125"/>
      <c r="C31" s="1122"/>
      <c r="D31" s="1123"/>
      <c r="E31" s="1123"/>
      <c r="F31" s="1123"/>
      <c r="G31" s="1124"/>
      <c r="H31" s="1122"/>
      <c r="I31" s="1123"/>
      <c r="J31" s="1147"/>
      <c r="K31" s="1147"/>
      <c r="L31" s="1148"/>
      <c r="M31" s="1126"/>
    </row>
    <row r="32" spans="1:13" ht="12" customHeight="1">
      <c r="A32" s="1125"/>
      <c r="B32" s="1125"/>
      <c r="C32" s="1122"/>
      <c r="D32" s="1123"/>
      <c r="E32" s="1123"/>
      <c r="F32" s="1123"/>
      <c r="G32" s="1124"/>
      <c r="H32" s="1122"/>
      <c r="I32" s="1123"/>
      <c r="J32" s="1147"/>
      <c r="K32" s="1147"/>
      <c r="L32" s="1148"/>
      <c r="M32" s="1126"/>
    </row>
    <row r="33" spans="1:13" ht="12" customHeight="1">
      <c r="A33" s="1125"/>
      <c r="B33" s="1125"/>
      <c r="C33" s="1122"/>
      <c r="D33" s="1123"/>
      <c r="E33" s="1123"/>
      <c r="F33" s="1123"/>
      <c r="G33" s="1124"/>
      <c r="H33" s="1122"/>
      <c r="I33" s="1123"/>
      <c r="J33" s="1147"/>
      <c r="K33" s="1147"/>
      <c r="L33" s="1148"/>
      <c r="M33" s="1126"/>
    </row>
    <row r="34" spans="1:13" ht="12" customHeight="1">
      <c r="A34" s="1125"/>
      <c r="B34" s="1125"/>
      <c r="C34" s="1122"/>
      <c r="D34" s="1123"/>
      <c r="E34" s="1123"/>
      <c r="F34" s="1123"/>
      <c r="G34" s="1124"/>
      <c r="H34" s="1122"/>
      <c r="I34" s="1123"/>
      <c r="J34" s="1147"/>
      <c r="K34" s="1147"/>
      <c r="L34" s="1148"/>
      <c r="M34" s="1126"/>
    </row>
    <row r="35" spans="1:13" ht="12" customHeight="1">
      <c r="A35" s="1125"/>
      <c r="B35" s="1125"/>
      <c r="C35" s="1122"/>
      <c r="D35" s="1123"/>
      <c r="E35" s="1123"/>
      <c r="F35" s="1123"/>
      <c r="G35" s="1124"/>
      <c r="H35" s="1122"/>
      <c r="I35" s="1123"/>
      <c r="J35" s="1147"/>
      <c r="K35" s="1147"/>
      <c r="L35" s="1148"/>
      <c r="M35" s="1126"/>
    </row>
    <row r="36" spans="1:13" ht="12" customHeight="1">
      <c r="A36" s="1125"/>
      <c r="B36" s="1125"/>
      <c r="C36" s="1122"/>
      <c r="D36" s="1123"/>
      <c r="E36" s="1123"/>
      <c r="F36" s="1123"/>
      <c r="G36" s="1124"/>
      <c r="H36" s="1122"/>
      <c r="I36" s="1123"/>
      <c r="J36" s="1147"/>
      <c r="K36" s="1147"/>
      <c r="L36" s="1148"/>
      <c r="M36" s="1126"/>
    </row>
    <row r="37" spans="1:13" ht="12" customHeight="1">
      <c r="A37" s="1125"/>
      <c r="B37" s="1125"/>
      <c r="C37" s="1128"/>
      <c r="D37" s="1129"/>
      <c r="E37" s="1129"/>
      <c r="F37" s="1129"/>
      <c r="G37" s="1130"/>
      <c r="H37" s="1122"/>
      <c r="I37" s="1123"/>
      <c r="J37" s="1147"/>
      <c r="K37" s="1147"/>
      <c r="L37" s="1148"/>
      <c r="M37" s="1126"/>
    </row>
    <row r="38" spans="1:13" ht="12" customHeight="1">
      <c r="A38" s="1503" t="s">
        <v>652</v>
      </c>
      <c r="B38" s="1504"/>
      <c r="C38" s="1132">
        <f t="shared" ref="C38:L38" si="0">SUM(C10:C37)</f>
        <v>4</v>
      </c>
      <c r="D38" s="1133">
        <f t="shared" si="0"/>
        <v>4</v>
      </c>
      <c r="E38" s="1133">
        <f t="shared" si="0"/>
        <v>4</v>
      </c>
      <c r="F38" s="1133">
        <f t="shared" si="0"/>
        <v>4</v>
      </c>
      <c r="G38" s="1131">
        <f t="shared" si="0"/>
        <v>4</v>
      </c>
      <c r="H38" s="1132">
        <f t="shared" si="0"/>
        <v>4</v>
      </c>
      <c r="I38" s="1133">
        <f t="shared" si="0"/>
        <v>4</v>
      </c>
      <c r="J38" s="1133">
        <f t="shared" si="0"/>
        <v>4</v>
      </c>
      <c r="K38" s="1133">
        <f t="shared" si="0"/>
        <v>4</v>
      </c>
      <c r="L38" s="1131">
        <f t="shared" si="0"/>
        <v>4</v>
      </c>
      <c r="M38" s="1120"/>
    </row>
    <row r="39" spans="1:13" ht="12" customHeight="1">
      <c r="A39" s="1097"/>
      <c r="B39" s="1097"/>
      <c r="C39" s="1097"/>
      <c r="D39" s="1097"/>
      <c r="E39" s="1097"/>
      <c r="F39" s="1097"/>
      <c r="G39" s="1097"/>
      <c r="H39" s="1097"/>
      <c r="I39" s="1097"/>
      <c r="J39" s="1097"/>
      <c r="K39" s="1097"/>
      <c r="L39" s="1097"/>
      <c r="M39" s="1097"/>
    </row>
  </sheetData>
  <mergeCells count="4">
    <mergeCell ref="A1:L1"/>
    <mergeCell ref="C5:G5"/>
    <mergeCell ref="H5:L5"/>
    <mergeCell ref="A38:B38"/>
  </mergeCells>
  <dataValidations count="1">
    <dataValidation type="list" showInputMessage="1" showErrorMessage="1" sqref="E8" xr:uid="{00000000-0002-0000-0100-000000000000}">
      <formula1>"Y,N"</formula1>
    </dataValidation>
  </dataValidations>
  <pageMargins left="0.59055118110236227" right="0.59055118110236227" top="0.59055118110236227" bottom="0.59055118110236227" header="0.31496062992125984" footer="0.31496062992125984"/>
  <pageSetup paperSize="9" scale="6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pageSetUpPr fitToPage="1"/>
  </sheetPr>
  <dimension ref="A1:Q34"/>
  <sheetViews>
    <sheetView showGridLines="0" topLeftCell="B1" zoomScale="120" zoomScaleNormal="120" workbookViewId="0">
      <selection activeCell="D9" sqref="D9"/>
    </sheetView>
  </sheetViews>
  <sheetFormatPr baseColWidth="10" defaultColWidth="9.28515625" defaultRowHeight="15"/>
  <cols>
    <col min="1" max="1" width="6.5703125" style="854" customWidth="1"/>
    <col min="2" max="2" width="1.5703125" style="854" customWidth="1"/>
    <col min="3" max="3" width="63.28515625" customWidth="1"/>
    <col min="4" max="8" width="16.28515625" customWidth="1"/>
    <col min="9" max="9" width="1.28515625" customWidth="1"/>
    <col min="10" max="10" width="14" customWidth="1"/>
    <col min="11" max="11" width="1.42578125" customWidth="1"/>
    <col min="12" max="12" width="10.140625" customWidth="1"/>
    <col min="13" max="15" width="11.28515625" bestFit="1" customWidth="1"/>
    <col min="16" max="16" width="4.28515625" customWidth="1"/>
    <col min="17" max="17" width="11.28515625" bestFit="1" customWidth="1"/>
  </cols>
  <sheetData>
    <row r="1" spans="1:17" s="854" customFormat="1" ht="18.600000000000001" customHeight="1"/>
    <row r="2" spans="1:17" s="854" customFormat="1" ht="18.600000000000001" customHeight="1">
      <c r="A2" s="855"/>
      <c r="C2" s="856"/>
    </row>
    <row r="3" spans="1:17" ht="18.600000000000001" customHeight="1" thickBot="1">
      <c r="A3" s="857"/>
      <c r="B3" s="858"/>
      <c r="C3" s="859"/>
      <c r="D3" s="859"/>
      <c r="E3" s="859"/>
      <c r="F3" s="854"/>
      <c r="G3" s="854"/>
      <c r="H3" s="854"/>
      <c r="I3" s="854"/>
      <c r="J3" s="854"/>
      <c r="K3" s="854"/>
    </row>
    <row r="4" spans="1:17" ht="18.600000000000001" customHeight="1">
      <c r="A4" s="858"/>
      <c r="B4" s="860"/>
      <c r="C4" s="861"/>
      <c r="D4" s="861"/>
      <c r="E4" s="861"/>
      <c r="F4" s="861"/>
      <c r="G4" s="861"/>
      <c r="H4" s="861"/>
      <c r="I4" s="861"/>
      <c r="J4" s="861"/>
      <c r="K4" s="862"/>
    </row>
    <row r="5" spans="1:17" ht="18.600000000000001" customHeight="1">
      <c r="A5" s="858"/>
      <c r="B5" s="863"/>
      <c r="C5" s="864" t="s">
        <v>518</v>
      </c>
      <c r="D5" s="865"/>
      <c r="E5" s="866"/>
      <c r="F5" s="865"/>
      <c r="G5" s="865"/>
      <c r="H5" s="865"/>
      <c r="I5" s="865"/>
      <c r="J5" s="865"/>
      <c r="K5" s="867"/>
    </row>
    <row r="6" spans="1:17" ht="18.600000000000001" customHeight="1">
      <c r="A6" s="858"/>
      <c r="B6" s="863"/>
      <c r="C6" s="865"/>
      <c r="D6" s="865"/>
      <c r="E6" s="865"/>
      <c r="F6" s="865"/>
      <c r="G6" s="865"/>
      <c r="H6" s="865"/>
      <c r="I6" s="865"/>
      <c r="J6" s="865"/>
      <c r="K6" s="867"/>
    </row>
    <row r="7" spans="1:17" ht="18.600000000000001" customHeight="1">
      <c r="A7" s="858"/>
      <c r="B7" s="863"/>
      <c r="C7" s="868" t="s">
        <v>556</v>
      </c>
      <c r="D7" s="869" t="s">
        <v>342</v>
      </c>
      <c r="E7" s="870" t="s">
        <v>519</v>
      </c>
      <c r="F7" s="870"/>
      <c r="G7" s="870"/>
      <c r="H7" s="870"/>
      <c r="I7" s="871"/>
      <c r="J7" s="872" t="s">
        <v>147</v>
      </c>
      <c r="K7" s="867"/>
    </row>
    <row r="8" spans="1:17" ht="18.600000000000001" customHeight="1">
      <c r="A8" s="858"/>
      <c r="B8" s="863"/>
      <c r="C8" s="873" t="str">
        <f>'T1'!A3</f>
        <v>Norway - TCZ</v>
      </c>
      <c r="D8" s="868" t="s">
        <v>343</v>
      </c>
      <c r="E8" s="868" t="s">
        <v>520</v>
      </c>
      <c r="F8" s="868" t="s">
        <v>145</v>
      </c>
      <c r="G8" s="868" t="s">
        <v>146</v>
      </c>
      <c r="H8" s="868" t="s">
        <v>147</v>
      </c>
      <c r="I8" s="871"/>
      <c r="J8" s="874" t="s">
        <v>521</v>
      </c>
      <c r="K8" s="867"/>
    </row>
    <row r="9" spans="1:17" ht="18.600000000000001" customHeight="1">
      <c r="A9" s="858"/>
      <c r="B9" s="863"/>
      <c r="C9" s="875" t="s">
        <v>557</v>
      </c>
      <c r="D9" s="1460">
        <f>+'T1'!J61*1000-(2800000)-(58935770)</f>
        <v>406068261.36675507</v>
      </c>
      <c r="E9" s="877">
        <f>('T1'!M61)*1000</f>
        <v>820743292.55454755</v>
      </c>
      <c r="F9" s="877">
        <f>'T1'!N61*1000</f>
        <v>409243459.30119324</v>
      </c>
      <c r="G9" s="877">
        <f>'T1'!O61*1000</f>
        <v>430889417.48589164</v>
      </c>
      <c r="H9" s="877">
        <f>'T1'!P61*1000</f>
        <v>446675240.36653244</v>
      </c>
      <c r="I9" s="871"/>
      <c r="J9" s="878">
        <f>(H9/D9)-1</f>
        <v>0.10000037644681048</v>
      </c>
      <c r="K9" s="867"/>
      <c r="M9" s="1459"/>
      <c r="N9" s="1459"/>
      <c r="O9" s="1459"/>
      <c r="Q9" s="1459"/>
    </row>
    <row r="10" spans="1:17" ht="18.600000000000001" customHeight="1">
      <c r="A10" s="858"/>
      <c r="B10" s="863"/>
      <c r="C10" s="879" t="s">
        <v>558</v>
      </c>
      <c r="D10" s="1460">
        <f>+'T1'!J66*1000-(2800000/'T1'!J65*100)-(58935770/'T1'!J65*100)</f>
        <v>388405364.70030177</v>
      </c>
      <c r="E10" s="550">
        <f>'T1'!M66*1000</f>
        <v>771496875.45070624</v>
      </c>
      <c r="F10" s="550">
        <f>'T1'!N66*1000</f>
        <v>374977850.69289255</v>
      </c>
      <c r="G10" s="550">
        <f>'T1'!O66*1000</f>
        <v>388790356.44687653</v>
      </c>
      <c r="H10" s="550">
        <f>'T1'!P66*1000</f>
        <v>396881896.09731662</v>
      </c>
      <c r="I10" s="871"/>
      <c r="J10" s="878">
        <f>(H10/D10)-1</f>
        <v>2.1823929758425065E-2</v>
      </c>
      <c r="K10" s="867"/>
      <c r="M10" s="1459"/>
      <c r="N10" s="1459"/>
      <c r="O10" s="1459"/>
      <c r="Q10" s="1459"/>
    </row>
    <row r="11" spans="1:17" ht="18.600000000000001" customHeight="1">
      <c r="A11" s="858"/>
      <c r="B11" s="863"/>
      <c r="C11" s="880" t="s">
        <v>559</v>
      </c>
      <c r="D11" s="877">
        <f>D10/$D$20</f>
        <v>41639725.368180759</v>
      </c>
      <c r="E11" s="877">
        <f>E10/$D$20</f>
        <v>82709769.060386017</v>
      </c>
      <c r="F11" s="877">
        <f>F10/$D$20</f>
        <v>40200203.552931525</v>
      </c>
      <c r="G11" s="877">
        <f>G10/$D$20</f>
        <v>41680999.130217388</v>
      </c>
      <c r="H11" s="877">
        <f>H10/$D$20</f>
        <v>42548467.809776045</v>
      </c>
      <c r="I11" s="871"/>
      <c r="J11" s="878">
        <f>(H11/D11)-1</f>
        <v>2.1823929758425065E-2</v>
      </c>
      <c r="K11" s="867"/>
    </row>
    <row r="12" spans="1:17" ht="18.600000000000001" customHeight="1">
      <c r="A12" s="858"/>
      <c r="B12" s="863"/>
      <c r="C12" s="875" t="s">
        <v>148</v>
      </c>
      <c r="D12" s="548"/>
      <c r="E12" s="551">
        <f>+E10/D10-1</f>
        <v>0.98631879362944042</v>
      </c>
      <c r="F12" s="551">
        <f>+F10/E10-1</f>
        <v>-0.51396063597298225</v>
      </c>
      <c r="G12" s="551">
        <f>+G10/F10-1</f>
        <v>3.6835524360868011E-2</v>
      </c>
      <c r="H12" s="551">
        <f>+H10/G10-1</f>
        <v>2.0812089385107146E-2</v>
      </c>
      <c r="I12" s="871"/>
      <c r="J12" s="881"/>
      <c r="K12" s="867"/>
    </row>
    <row r="13" spans="1:17" ht="18.600000000000001" customHeight="1">
      <c r="A13" s="858"/>
      <c r="B13" s="863"/>
      <c r="C13" s="875" t="s">
        <v>560</v>
      </c>
      <c r="D13" s="876">
        <f>+'T1'!J68*1000</f>
        <v>256005.65702730604</v>
      </c>
      <c r="E13" s="877">
        <f>('T1'!M68)*1000</f>
        <v>273569.71650974202</v>
      </c>
      <c r="F13" s="877">
        <f>'T1'!N68*1000</f>
        <v>204803.11130053201</v>
      </c>
      <c r="G13" s="877">
        <f>'T1'!O68*1000</f>
        <v>240422.511097107</v>
      </c>
      <c r="H13" s="877">
        <f>'T1'!P68*1000</f>
        <v>258338.19951035298</v>
      </c>
      <c r="I13" s="871"/>
      <c r="J13" s="878">
        <f>(H13/D13)-1</f>
        <v>9.1112927352154927E-3</v>
      </c>
      <c r="K13" s="867"/>
    </row>
    <row r="14" spans="1:17" ht="18.600000000000001" customHeight="1">
      <c r="A14" s="858"/>
      <c r="B14" s="863"/>
      <c r="C14" s="875" t="s">
        <v>148</v>
      </c>
      <c r="D14" s="548"/>
      <c r="E14" s="551">
        <f>+E13/D13-1</f>
        <v>6.8608091267930771E-2</v>
      </c>
      <c r="F14" s="551">
        <f>+F13/E13-1</f>
        <v>-0.25136775402829059</v>
      </c>
      <c r="G14" s="551">
        <f>+G13/F13-1</f>
        <v>0.17392020839129918</v>
      </c>
      <c r="H14" s="551">
        <f>+H13/G13-1</f>
        <v>7.4517516398494799E-2</v>
      </c>
      <c r="I14" s="882"/>
      <c r="J14" s="881"/>
      <c r="K14" s="867"/>
    </row>
    <row r="15" spans="1:17" ht="18.600000000000001" customHeight="1">
      <c r="A15" s="858"/>
      <c r="B15" s="863"/>
      <c r="C15" s="883" t="s">
        <v>561</v>
      </c>
      <c r="D15" s="553">
        <f>D10/D13</f>
        <v>1517.174929688658</v>
      </c>
      <c r="E15" s="547">
        <f>IF(E13=0,0,E10/E13)</f>
        <v>2820.1106660986457</v>
      </c>
      <c r="F15" s="547">
        <f>IF(F13=0,0,F10/F13)</f>
        <v>1830.9187214575215</v>
      </c>
      <c r="G15" s="547">
        <f>IF(G13=0,0,G10/G13)</f>
        <v>1617.1129511655568</v>
      </c>
      <c r="H15" s="547">
        <f>IF(H13=0,0,H10/H13)</f>
        <v>1536.2880783777061</v>
      </c>
      <c r="I15" s="871"/>
      <c r="J15" s="878">
        <f>(H15/D15)-1</f>
        <v>1.2597854284983612E-2</v>
      </c>
      <c r="K15" s="867"/>
    </row>
    <row r="16" spans="1:17" ht="18.600000000000001" customHeight="1">
      <c r="A16" s="858"/>
      <c r="B16" s="863"/>
      <c r="C16" s="875" t="s">
        <v>562</v>
      </c>
      <c r="D16" s="884">
        <f>D15/$D$20</f>
        <v>162.6515829833377</v>
      </c>
      <c r="E16" s="885">
        <f>E15/$D$20</f>
        <v>302.3352515607869</v>
      </c>
      <c r="F16" s="885">
        <f>F15/$D$20</f>
        <v>196.28707443775585</v>
      </c>
      <c r="G16" s="885">
        <f>G15/$D$20</f>
        <v>173.36562595580898</v>
      </c>
      <c r="H16" s="885">
        <f>H15/$D$20</f>
        <v>164.70064392498372</v>
      </c>
      <c r="I16" s="882"/>
      <c r="J16" s="878">
        <f>(H16/D16)-1</f>
        <v>1.2597854284983612E-2</v>
      </c>
      <c r="K16" s="867"/>
    </row>
    <row r="17" spans="1:11" ht="18.600000000000001" customHeight="1">
      <c r="A17" s="858"/>
      <c r="B17" s="863"/>
      <c r="C17" s="875" t="s">
        <v>148</v>
      </c>
      <c r="D17" s="548"/>
      <c r="E17" s="551">
        <f>+E16/D16-1</f>
        <v>0.85879071088879977</v>
      </c>
      <c r="F17" s="551">
        <f>+F16/E16-1</f>
        <v>-0.35076352021659385</v>
      </c>
      <c r="G17" s="551">
        <f>+G16/F16-1</f>
        <v>-0.11677512922133559</v>
      </c>
      <c r="H17" s="551">
        <f>+H16/G16-1</f>
        <v>-4.9980969312993895E-2</v>
      </c>
      <c r="I17" s="882"/>
      <c r="J17" s="881"/>
      <c r="K17" s="867"/>
    </row>
    <row r="18" spans="1:11" ht="18.600000000000001" customHeight="1">
      <c r="A18" s="858"/>
      <c r="B18" s="863"/>
      <c r="C18" s="886"/>
      <c r="D18" s="887"/>
      <c r="E18" s="888"/>
      <c r="F18" s="888"/>
      <c r="G18" s="888"/>
      <c r="H18" s="888"/>
      <c r="I18" s="889"/>
      <c r="J18" s="889"/>
      <c r="K18" s="867"/>
    </row>
    <row r="19" spans="1:11" ht="18.600000000000001" customHeight="1">
      <c r="A19" s="858"/>
      <c r="B19" s="863"/>
      <c r="C19" s="890" t="s">
        <v>344</v>
      </c>
      <c r="D19" s="891" t="s">
        <v>685</v>
      </c>
      <c r="E19" s="892"/>
      <c r="F19" s="889"/>
      <c r="G19" s="889"/>
      <c r="H19" s="889"/>
      <c r="I19" s="889"/>
      <c r="J19" s="889"/>
      <c r="K19" s="867"/>
    </row>
    <row r="20" spans="1:11" ht="18.600000000000001" customHeight="1">
      <c r="A20" s="858"/>
      <c r="B20" s="863"/>
      <c r="C20" s="893" t="s">
        <v>522</v>
      </c>
      <c r="D20" s="1136">
        <v>9.3277599999999996</v>
      </c>
      <c r="E20" s="892"/>
      <c r="F20" s="889"/>
      <c r="G20" s="889"/>
      <c r="H20" s="889"/>
      <c r="I20" s="889"/>
      <c r="J20" s="889"/>
      <c r="K20" s="867"/>
    </row>
    <row r="21" spans="1:11" ht="8.1" customHeight="1">
      <c r="A21" s="858"/>
      <c r="B21" s="863"/>
      <c r="C21" s="894"/>
      <c r="D21" s="894"/>
      <c r="E21" s="865"/>
      <c r="F21" s="865"/>
      <c r="G21" s="865"/>
      <c r="H21" s="865"/>
      <c r="I21" s="865"/>
      <c r="J21" s="865"/>
      <c r="K21" s="867"/>
    </row>
    <row r="22" spans="1:11" ht="8.1" customHeight="1">
      <c r="A22" s="858"/>
      <c r="B22" s="863"/>
      <c r="C22" s="865"/>
      <c r="D22" s="865"/>
      <c r="E22" s="865"/>
      <c r="F22" s="865"/>
      <c r="G22" s="865"/>
      <c r="H22" s="865"/>
      <c r="I22" s="865"/>
      <c r="J22" s="865"/>
      <c r="K22" s="867"/>
    </row>
    <row r="23" spans="1:11" ht="18.600000000000001" customHeight="1">
      <c r="A23" s="858"/>
      <c r="B23" s="863"/>
      <c r="C23" s="864" t="s">
        <v>523</v>
      </c>
      <c r="D23" s="865"/>
      <c r="E23" s="865"/>
      <c r="F23" s="865"/>
      <c r="G23" s="865"/>
      <c r="H23" s="865"/>
      <c r="I23" s="865"/>
      <c r="J23" s="865"/>
      <c r="K23" s="867"/>
    </row>
    <row r="24" spans="1:11" ht="18.600000000000001" customHeight="1">
      <c r="A24" s="858"/>
      <c r="B24" s="863"/>
      <c r="C24" s="865"/>
      <c r="D24" s="865"/>
      <c r="E24" s="865"/>
      <c r="F24" s="865"/>
      <c r="G24" s="865"/>
      <c r="H24" s="865"/>
      <c r="I24" s="865"/>
      <c r="J24" s="865"/>
      <c r="K24" s="867"/>
    </row>
    <row r="25" spans="1:11" ht="18.600000000000001" customHeight="1">
      <c r="A25" s="858"/>
      <c r="B25" s="863"/>
      <c r="C25" s="895" t="s">
        <v>556</v>
      </c>
      <c r="D25" s="896" t="s">
        <v>342</v>
      </c>
      <c r="E25" s="896" t="s">
        <v>524</v>
      </c>
      <c r="F25" s="897" t="s">
        <v>525</v>
      </c>
      <c r="I25" s="865"/>
      <c r="J25" s="865"/>
      <c r="K25" s="867"/>
    </row>
    <row r="26" spans="1:11" ht="18.600000000000001" customHeight="1">
      <c r="A26" s="858"/>
      <c r="B26" s="863"/>
      <c r="C26" s="898" t="str">
        <f>'T1'!A3</f>
        <v>Norway - TCZ</v>
      </c>
      <c r="D26" s="899" t="s">
        <v>343</v>
      </c>
      <c r="E26" s="900" t="s">
        <v>526</v>
      </c>
      <c r="F26" s="901" t="s">
        <v>527</v>
      </c>
      <c r="I26" s="865"/>
      <c r="J26" s="865"/>
      <c r="K26" s="867"/>
    </row>
    <row r="27" spans="1:11" ht="18.600000000000001" customHeight="1">
      <c r="A27" s="858"/>
      <c r="B27" s="863"/>
      <c r="C27" s="902" t="s">
        <v>563</v>
      </c>
      <c r="D27" s="552">
        <f>D9</f>
        <v>406068261.36675507</v>
      </c>
      <c r="E27" s="549">
        <f>'T1'!J61*1000</f>
        <v>467804031.36675507</v>
      </c>
      <c r="F27" s="903">
        <f>D27-E27</f>
        <v>-61735770</v>
      </c>
      <c r="I27" s="865"/>
      <c r="J27" s="865"/>
      <c r="K27" s="867"/>
    </row>
    <row r="28" spans="1:11" ht="18.600000000000001" customHeight="1">
      <c r="A28" s="858"/>
      <c r="B28" s="863"/>
      <c r="C28" s="904" t="s">
        <v>564</v>
      </c>
      <c r="D28" s="550">
        <f>D10</f>
        <v>388405364.70030177</v>
      </c>
      <c r="E28" s="549">
        <f>'T1'!J66*1000</f>
        <v>446995433.88573587</v>
      </c>
      <c r="F28" s="903">
        <f>D28-E28</f>
        <v>-58590069.185434103</v>
      </c>
      <c r="I28" s="865"/>
      <c r="J28" s="865"/>
      <c r="K28" s="867"/>
    </row>
    <row r="29" spans="1:11" ht="18.600000000000001" customHeight="1">
      <c r="A29" s="858"/>
      <c r="B29" s="863"/>
      <c r="C29" s="905" t="s">
        <v>559</v>
      </c>
      <c r="D29" s="877">
        <f>D28/$D$20</f>
        <v>41639725.368180759</v>
      </c>
      <c r="E29" s="549">
        <f>E28/$D$20</f>
        <v>47920983.589386508</v>
      </c>
      <c r="F29" s="903">
        <f>D29-E29</f>
        <v>-6281258.2212057486</v>
      </c>
      <c r="I29" s="865"/>
      <c r="J29" s="865"/>
      <c r="K29" s="867"/>
    </row>
    <row r="30" spans="1:11" ht="18.600000000000001" customHeight="1">
      <c r="A30" s="858"/>
      <c r="B30" s="863"/>
      <c r="C30" s="906" t="s">
        <v>565</v>
      </c>
      <c r="D30" s="907">
        <f>D13</f>
        <v>256005.65702730604</v>
      </c>
      <c r="E30" s="908">
        <f>'T1'!J68*1000</f>
        <v>256005.65702730604</v>
      </c>
      <c r="F30" s="909">
        <f>D30-E30</f>
        <v>0</v>
      </c>
      <c r="I30" s="865"/>
      <c r="J30" s="865"/>
      <c r="K30" s="867"/>
    </row>
    <row r="31" spans="1:11" ht="18.600000000000001" customHeight="1" thickBot="1">
      <c r="A31" s="858"/>
      <c r="B31" s="910"/>
      <c r="C31" s="911"/>
      <c r="D31" s="912"/>
      <c r="E31" s="912"/>
      <c r="F31" s="912"/>
      <c r="G31" s="912"/>
      <c r="H31" s="912"/>
      <c r="I31" s="912"/>
      <c r="J31" s="912"/>
      <c r="K31" s="913"/>
    </row>
    <row r="32" spans="1:11">
      <c r="A32" s="858"/>
      <c r="B32" s="858"/>
      <c r="D32" s="865"/>
      <c r="E32" s="865"/>
      <c r="F32" s="865"/>
      <c r="G32" s="865"/>
      <c r="H32" s="865"/>
      <c r="I32" s="865"/>
      <c r="J32" s="865"/>
      <c r="K32" s="854"/>
    </row>
    <row r="33" spans="1:2">
      <c r="A33" s="858"/>
      <c r="B33" s="858"/>
    </row>
    <row r="34" spans="1:2">
      <c r="A34" s="858"/>
      <c r="B34" s="858"/>
    </row>
  </sheetData>
  <pageMargins left="0.7" right="0.7" top="0.75" bottom="0.75" header="0.3" footer="0.3"/>
  <pageSetup scale="75"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83">
    <tabColor theme="1"/>
    <pageSetUpPr fitToPage="1"/>
  </sheetPr>
  <dimension ref="A1:AB122"/>
  <sheetViews>
    <sheetView showGridLines="0" tabSelected="1" zoomScale="110" zoomScaleNormal="110" workbookViewId="0"/>
  </sheetViews>
  <sheetFormatPr baseColWidth="10" defaultColWidth="12.5703125" defaultRowHeight="12"/>
  <cols>
    <col min="1" max="1" width="30.7109375" style="90" customWidth="1"/>
    <col min="2" max="2" width="0.5703125" style="90" customWidth="1"/>
    <col min="3" max="5" width="8" style="963" hidden="1" customWidth="1"/>
    <col min="6" max="10" width="8.5703125" style="90" customWidth="1"/>
    <col min="11" max="12" width="10.85546875" style="728" bestFit="1" customWidth="1"/>
    <col min="13" max="16" width="8.5703125" style="76" customWidth="1"/>
    <col min="17" max="17" width="0.5703125" style="76" customWidth="1"/>
    <col min="18" max="18" width="10.85546875" style="728" bestFit="1" customWidth="1"/>
    <col min="19" max="23" width="8.5703125" style="74" customWidth="1"/>
    <col min="24" max="16384" width="12.5703125" style="74"/>
  </cols>
  <sheetData>
    <row r="1" spans="1:28" ht="12" customHeight="1">
      <c r="A1" s="73" t="s">
        <v>346</v>
      </c>
      <c r="B1" s="73"/>
      <c r="C1" s="962"/>
      <c r="D1" s="962"/>
      <c r="E1" s="962"/>
      <c r="F1" s="73"/>
      <c r="G1" s="73"/>
      <c r="H1" s="73"/>
      <c r="I1" s="73"/>
      <c r="J1" s="73"/>
      <c r="L1" s="729"/>
      <c r="M1" s="73"/>
      <c r="N1" s="73"/>
      <c r="O1" s="73"/>
      <c r="P1" s="73"/>
      <c r="Q1" s="73"/>
      <c r="S1" s="73"/>
      <c r="T1" s="73"/>
      <c r="U1" s="73"/>
      <c r="V1" s="73"/>
      <c r="W1" s="73"/>
    </row>
    <row r="2" spans="1:28" ht="12" customHeight="1">
      <c r="A2" s="75"/>
      <c r="B2" s="75"/>
      <c r="F2" s="75"/>
      <c r="G2" s="75"/>
      <c r="H2" s="75"/>
      <c r="I2" s="75"/>
      <c r="J2" s="75"/>
    </row>
    <row r="3" spans="1:28" ht="12" customHeight="1">
      <c r="A3" s="77" t="str">
        <f>Header!B3</f>
        <v>Norway - TCZ</v>
      </c>
      <c r="B3" s="78"/>
      <c r="C3" s="964"/>
      <c r="D3" s="964"/>
      <c r="E3" s="964"/>
      <c r="F3" s="78"/>
      <c r="G3" s="78"/>
      <c r="H3" s="78"/>
      <c r="I3" s="78"/>
      <c r="J3" s="78"/>
      <c r="K3" s="475"/>
      <c r="L3" s="475"/>
      <c r="M3" s="79"/>
      <c r="N3" s="79"/>
      <c r="O3" s="79"/>
      <c r="P3" s="79"/>
      <c r="Q3" s="79"/>
      <c r="R3" s="475"/>
      <c r="S3" s="430"/>
      <c r="T3" s="430"/>
      <c r="U3" s="430"/>
      <c r="V3" s="430"/>
      <c r="W3" s="430"/>
    </row>
    <row r="4" spans="1:28" ht="12" customHeight="1">
      <c r="A4" s="80" t="s">
        <v>695</v>
      </c>
      <c r="B4" s="78"/>
      <c r="C4" s="1031"/>
      <c r="E4" s="964"/>
      <c r="F4" s="78"/>
      <c r="G4" s="78"/>
      <c r="H4" s="78"/>
      <c r="I4" s="78"/>
      <c r="J4" s="78"/>
      <c r="K4" s="475"/>
      <c r="L4" s="475"/>
      <c r="M4" s="79"/>
      <c r="N4" s="79"/>
      <c r="O4" s="79"/>
      <c r="P4" s="79"/>
      <c r="Q4" s="79"/>
      <c r="R4" s="475"/>
    </row>
    <row r="5" spans="1:28" ht="12" customHeight="1">
      <c r="A5" s="81" t="s">
        <v>88</v>
      </c>
      <c r="B5" s="78"/>
      <c r="C5" s="964"/>
      <c r="D5" s="964"/>
      <c r="E5" s="964"/>
      <c r="F5" s="78"/>
      <c r="G5" s="78"/>
      <c r="H5" s="78"/>
      <c r="I5" s="79"/>
      <c r="J5" s="79"/>
      <c r="K5" s="475"/>
      <c r="L5" s="475"/>
      <c r="M5" s="79"/>
      <c r="N5" s="79"/>
      <c r="O5" s="79"/>
      <c r="P5" s="79"/>
      <c r="Q5" s="79"/>
      <c r="R5" s="475"/>
    </row>
    <row r="6" spans="1:28" ht="12" customHeight="1">
      <c r="A6" s="75"/>
      <c r="B6" s="75"/>
      <c r="F6" s="75"/>
      <c r="G6" s="75"/>
      <c r="H6" s="75"/>
      <c r="I6" s="75"/>
      <c r="J6" s="75"/>
    </row>
    <row r="7" spans="1:28" s="82" customFormat="1" ht="12" customHeight="1">
      <c r="C7" s="965"/>
      <c r="D7" s="966"/>
      <c r="E7" s="966"/>
      <c r="F7" s="1505" t="s">
        <v>555</v>
      </c>
      <c r="G7" s="1506"/>
      <c r="H7" s="1506"/>
      <c r="I7" s="1506"/>
      <c r="J7" s="1507"/>
      <c r="K7" s="1500" t="s">
        <v>345</v>
      </c>
      <c r="L7" s="1501"/>
      <c r="M7" s="1501"/>
      <c r="N7" s="1501"/>
      <c r="O7" s="1501"/>
      <c r="P7" s="1502"/>
      <c r="Q7" s="1004"/>
      <c r="R7" s="1505" t="s">
        <v>89</v>
      </c>
      <c r="S7" s="1506"/>
      <c r="T7" s="1506"/>
      <c r="U7" s="1506"/>
      <c r="V7" s="1506"/>
      <c r="W7" s="1507"/>
    </row>
    <row r="8" spans="1:28" ht="12" customHeight="1">
      <c r="A8" s="74"/>
      <c r="B8" s="74"/>
      <c r="C8" s="967"/>
      <c r="D8" s="967"/>
      <c r="E8" s="967"/>
      <c r="F8" s="74"/>
      <c r="G8" s="74"/>
      <c r="H8" s="74"/>
      <c r="I8" s="74"/>
      <c r="J8" s="74"/>
      <c r="K8" s="207"/>
      <c r="L8" s="207"/>
      <c r="M8" s="83"/>
      <c r="N8" s="83"/>
      <c r="O8" s="83"/>
      <c r="P8" s="83"/>
      <c r="Q8" s="83"/>
      <c r="R8" s="207"/>
    </row>
    <row r="9" spans="1:28" s="89" customFormat="1" ht="12" customHeight="1">
      <c r="A9" s="84" t="s">
        <v>90</v>
      </c>
      <c r="B9" s="75"/>
      <c r="C9" s="968"/>
      <c r="D9" s="968"/>
      <c r="E9" s="968"/>
      <c r="F9" s="85">
        <v>2015</v>
      </c>
      <c r="G9" s="86">
        <v>2016</v>
      </c>
      <c r="H9" s="86">
        <v>2017</v>
      </c>
      <c r="I9" s="86">
        <v>2018</v>
      </c>
      <c r="J9" s="87">
        <v>2019</v>
      </c>
      <c r="K9" s="711">
        <v>2020</v>
      </c>
      <c r="L9" s="711">
        <v>2021</v>
      </c>
      <c r="M9" s="86" t="s">
        <v>498</v>
      </c>
      <c r="N9" s="86">
        <v>2022</v>
      </c>
      <c r="O9" s="86">
        <v>2023</v>
      </c>
      <c r="P9" s="87">
        <v>2024</v>
      </c>
      <c r="Q9" s="88"/>
      <c r="R9" s="931">
        <v>2020</v>
      </c>
      <c r="S9" s="712">
        <v>2021</v>
      </c>
      <c r="T9" s="86" t="s">
        <v>498</v>
      </c>
      <c r="U9" s="86">
        <v>2022</v>
      </c>
      <c r="V9" s="86">
        <v>2023</v>
      </c>
      <c r="W9" s="87">
        <v>2024</v>
      </c>
    </row>
    <row r="10" spans="1:28" ht="12" customHeight="1">
      <c r="A10" s="75"/>
      <c r="B10" s="75"/>
      <c r="F10" s="75"/>
      <c r="G10" s="75"/>
      <c r="H10" s="75"/>
      <c r="I10" s="75"/>
      <c r="J10" s="75"/>
      <c r="K10" s="538"/>
      <c r="L10" s="538"/>
      <c r="M10" s="90"/>
      <c r="N10" s="90"/>
      <c r="R10" s="538"/>
      <c r="S10" s="90"/>
      <c r="T10" s="90"/>
      <c r="U10" s="90"/>
      <c r="V10" s="90"/>
      <c r="W10" s="90"/>
    </row>
    <row r="11" spans="1:28" ht="15.6" customHeight="1">
      <c r="A11" s="91" t="s">
        <v>91</v>
      </c>
      <c r="B11" s="969"/>
      <c r="C11" s="969"/>
      <c r="D11" s="969"/>
      <c r="E11" s="969"/>
      <c r="F11" s="91"/>
      <c r="G11" s="91"/>
      <c r="H11" s="91"/>
      <c r="I11" s="91"/>
      <c r="J11" s="91"/>
      <c r="K11" s="730"/>
      <c r="L11" s="730"/>
      <c r="M11" s="93"/>
      <c r="N11" s="93"/>
      <c r="O11" s="93"/>
      <c r="P11" s="92"/>
      <c r="Q11" s="92"/>
      <c r="R11" s="730"/>
      <c r="S11" s="93"/>
      <c r="T11" s="93"/>
      <c r="U11" s="94"/>
      <c r="V11" s="94"/>
      <c r="W11" s="94"/>
    </row>
    <row r="12" spans="1:28" ht="12" customHeight="1">
      <c r="A12" s="95" t="s">
        <v>92</v>
      </c>
      <c r="B12" s="102"/>
      <c r="C12" s="970"/>
      <c r="D12" s="970"/>
      <c r="E12" s="970"/>
      <c r="F12" s="98">
        <f>'T1 ANSP'!F12+'T1 MET'!F12+'T1 NSA'!F12</f>
        <v>312372.14412944199</v>
      </c>
      <c r="G12" s="99">
        <f>'T1 ANSP'!G12+'T1 MET'!G12+'T1 NSA'!G12</f>
        <v>286409.22263988364</v>
      </c>
      <c r="H12" s="99">
        <f>'T1 ANSP'!H12+'T1 MET'!H12+'T1 NSA'!H12</f>
        <v>273959.84741839004</v>
      </c>
      <c r="I12" s="99">
        <f>'T1 ANSP'!I12+'T1 MET'!I12+'T1 NSA'!I12</f>
        <v>286831.73722045147</v>
      </c>
      <c r="J12" s="709">
        <f>'T1 ANSP'!J12+'T1 MET'!J12+'T1 NSA'!J12</f>
        <v>294098.81483909499</v>
      </c>
      <c r="K12" s="818">
        <f>'T1 ANSP'!K12+'T1 MET'!K12+'T1 NSA'!K12</f>
        <v>241764.80505635447</v>
      </c>
      <c r="L12" s="819">
        <f>'T1 ANSP'!L12+'T1 MET'!L12+'T1 NSA'!L12</f>
        <v>236078.16558819945</v>
      </c>
      <c r="M12" s="577">
        <f>'T1 ANSP'!M12+'T1 MET'!M12+'T1 NSA'!M12</f>
        <v>477842.97064455389</v>
      </c>
      <c r="N12" s="577">
        <f>'T1 ANSP'!N12+'T1 MET'!N12+'T1 NSA'!N12</f>
        <v>240998.0807269559</v>
      </c>
      <c r="O12" s="577">
        <f>'T1 ANSP'!O12+'T1 MET'!O12+'T1 NSA'!O12</f>
        <v>245960.785514043</v>
      </c>
      <c r="P12" s="576">
        <f>'T1 ANSP'!P12+'T1 MET'!P12+'T1 NSA'!P12</f>
        <v>253746.2545150264</v>
      </c>
      <c r="Q12" s="97"/>
      <c r="R12" s="818">
        <f>'T1 ANSP'!R12+'T1 MET'!R12+'T1 NSA'!R12</f>
        <v>241764.80505635447</v>
      </c>
      <c r="S12" s="99"/>
      <c r="T12" s="99"/>
      <c r="U12" s="100"/>
      <c r="V12" s="100"/>
      <c r="W12" s="101"/>
      <c r="Y12" s="561"/>
      <c r="Z12" s="561"/>
      <c r="AA12" s="561"/>
      <c r="AB12" s="561"/>
    </row>
    <row r="13" spans="1:28" ht="12" customHeight="1">
      <c r="A13" s="102" t="s">
        <v>93</v>
      </c>
      <c r="B13" s="102"/>
      <c r="C13" s="971"/>
      <c r="D13" s="971"/>
      <c r="E13" s="971"/>
      <c r="F13" s="480"/>
      <c r="G13" s="481"/>
      <c r="H13" s="481"/>
      <c r="I13" s="481"/>
      <c r="J13" s="708"/>
      <c r="K13" s="820">
        <f>'T1 ANSP'!K13+'T1 MET'!K13+'T1 NSA'!K13</f>
        <v>70988.178000000014</v>
      </c>
      <c r="L13" s="821">
        <f>'T1 ANSP'!L13+'T1 MET'!L13+'T1 NSA'!L13</f>
        <v>68501.226999999999</v>
      </c>
      <c r="M13" s="579">
        <f>'T1 ANSP'!M13+'T1 MET'!M13+'T1 NSA'!M13</f>
        <v>139489.40500000003</v>
      </c>
      <c r="N13" s="579">
        <f>'T1 ANSP'!N13+'T1 MET'!N13+'T1 NSA'!N13</f>
        <v>70349.767999999996</v>
      </c>
      <c r="O13" s="579">
        <f>'T1 ANSP'!O13+'T1 MET'!O13+'T1 NSA'!O13</f>
        <v>71965.743000000002</v>
      </c>
      <c r="P13" s="580">
        <f>'T1 ANSP'!P13+'T1 MET'!P13+'T1 NSA'!P13</f>
        <v>73532.292000000001</v>
      </c>
      <c r="Q13" s="97"/>
      <c r="R13" s="820">
        <f>'T1 ANSP'!R13+'T1 MET'!R13+'T1 NSA'!R13</f>
        <v>70988.178000000014</v>
      </c>
      <c r="S13" s="104"/>
      <c r="T13" s="104"/>
      <c r="U13" s="105"/>
      <c r="V13" s="105"/>
      <c r="W13" s="106"/>
      <c r="Y13" s="561"/>
      <c r="Z13" s="561"/>
      <c r="AA13" s="561"/>
      <c r="AB13" s="561"/>
    </row>
    <row r="14" spans="1:28" ht="12" customHeight="1">
      <c r="A14" s="102" t="s">
        <v>94</v>
      </c>
      <c r="B14" s="102"/>
      <c r="C14" s="970"/>
      <c r="D14" s="970"/>
      <c r="E14" s="970"/>
      <c r="F14" s="103">
        <f>'T1 ANSP'!F14+'T1 MET'!F14+'T1 NSA'!F14</f>
        <v>108299.26837648051</v>
      </c>
      <c r="G14" s="104">
        <f>'T1 ANSP'!G14+'T1 MET'!G14+'T1 NSA'!G14</f>
        <v>102322.07421329456</v>
      </c>
      <c r="H14" s="104">
        <f>'T1 ANSP'!H14+'T1 MET'!H14+'T1 NSA'!H14</f>
        <v>100129.90774008157</v>
      </c>
      <c r="I14" s="104">
        <f>'T1 ANSP'!I14+'T1 MET'!I14+'T1 NSA'!I14</f>
        <v>106885.06189481715</v>
      </c>
      <c r="J14" s="431">
        <f>'T1 ANSP'!J14+'T1 MET'!J14+'T1 NSA'!J14</f>
        <v>116607.65917893307</v>
      </c>
      <c r="K14" s="820">
        <f>'T1 ANSP'!K14+'T1 MET'!K14+'T1 NSA'!K14</f>
        <v>98794.310120080205</v>
      </c>
      <c r="L14" s="821">
        <f>'T1 ANSP'!L14+'T1 MET'!L14+'T1 NSA'!L14</f>
        <v>107758.59153633863</v>
      </c>
      <c r="M14" s="579">
        <f>'T1 ANSP'!M14+'T1 MET'!M14+'T1 NSA'!M14</f>
        <v>206552.90165641886</v>
      </c>
      <c r="N14" s="579">
        <f>'T1 ANSP'!N14+'T1 MET'!N14+'T1 NSA'!N14</f>
        <v>102220.92735276571</v>
      </c>
      <c r="O14" s="579">
        <f>'T1 ANSP'!O14+'T1 MET'!O14+'T1 NSA'!O14</f>
        <v>112686.37503644472</v>
      </c>
      <c r="P14" s="580">
        <f>'T1 ANSP'!P14+'T1 MET'!P14+'T1 NSA'!P14</f>
        <v>116233.60873720495</v>
      </c>
      <c r="Q14" s="97"/>
      <c r="R14" s="820">
        <f>'T1 ANSP'!R14+'T1 MET'!R14+'T1 NSA'!R14</f>
        <v>98794.310120080205</v>
      </c>
      <c r="S14" s="104"/>
      <c r="T14" s="104"/>
      <c r="U14" s="105"/>
      <c r="V14" s="105"/>
      <c r="W14" s="106"/>
      <c r="Y14" s="561"/>
      <c r="Z14" s="561"/>
      <c r="AA14" s="561"/>
      <c r="AB14" s="561"/>
    </row>
    <row r="15" spans="1:28" ht="12" customHeight="1">
      <c r="A15" s="102" t="s">
        <v>95</v>
      </c>
      <c r="B15" s="102"/>
      <c r="C15" s="970"/>
      <c r="D15" s="970"/>
      <c r="E15" s="970"/>
      <c r="F15" s="103">
        <f>'T1 ANSP'!F15+'T1 MET'!F15+'T1 NSA'!F15</f>
        <v>20235.34949634333</v>
      </c>
      <c r="G15" s="104">
        <f>'T1 ANSP'!G15+'T1 MET'!G15+'T1 NSA'!G15</f>
        <v>40634.97393</v>
      </c>
      <c r="H15" s="104">
        <f>'T1 ANSP'!H15+'T1 MET'!H15+'T1 NSA'!H15</f>
        <v>50380.875621502346</v>
      </c>
      <c r="I15" s="104">
        <f>'T1 ANSP'!I15+'T1 MET'!I15+'T1 NSA'!I15</f>
        <v>49124.485000000001</v>
      </c>
      <c r="J15" s="431">
        <f>'T1 ANSP'!J15+'T1 MET'!J15+'T1 NSA'!J15</f>
        <v>31269.800201120459</v>
      </c>
      <c r="K15" s="820">
        <f>'T1 ANSP'!K15+'T1 MET'!K15+'T1 NSA'!K15</f>
        <v>39813.826957656034</v>
      </c>
      <c r="L15" s="821">
        <f>'T1 ANSP'!L15+'T1 MET'!L15+'T1 NSA'!L15</f>
        <v>37238.779626385847</v>
      </c>
      <c r="M15" s="579">
        <f>'T1 ANSP'!M15+'T1 MET'!M15+'T1 NSA'!M15</f>
        <v>77052.606584041874</v>
      </c>
      <c r="N15" s="579">
        <f>'T1 ANSP'!N15+'T1 MET'!N15+'T1 NSA'!N15</f>
        <v>35699.479020446444</v>
      </c>
      <c r="O15" s="579">
        <f>'T1 ANSP'!O15+'T1 MET'!O15+'T1 NSA'!O15</f>
        <v>38376.535426039904</v>
      </c>
      <c r="P15" s="580">
        <f>'T1 ANSP'!P15+'T1 MET'!P15+'T1 NSA'!P15</f>
        <v>38244.631497186485</v>
      </c>
      <c r="Q15" s="97"/>
      <c r="R15" s="820">
        <f>'T1 ANSP'!R15+'T1 MET'!R15+'T1 NSA'!R15</f>
        <v>39813.826957656034</v>
      </c>
      <c r="S15" s="104"/>
      <c r="T15" s="104"/>
      <c r="U15" s="105"/>
      <c r="V15" s="105"/>
      <c r="W15" s="106"/>
      <c r="Y15" s="561"/>
      <c r="Z15" s="561"/>
      <c r="AA15" s="561"/>
      <c r="AB15" s="561"/>
    </row>
    <row r="16" spans="1:28" ht="12" customHeight="1">
      <c r="A16" s="102" t="s">
        <v>96</v>
      </c>
      <c r="B16" s="102"/>
      <c r="C16" s="970"/>
      <c r="D16" s="970"/>
      <c r="E16" s="970"/>
      <c r="F16" s="103">
        <f>'T1 ANSP'!F16+'T1 MET'!F16+'T1 NSA'!F16</f>
        <v>14832.730810699972</v>
      </c>
      <c r="G16" s="104">
        <f>'T1 ANSP'!G16+'T1 MET'!G16+'T1 NSA'!G16</f>
        <v>33095.501216821875</v>
      </c>
      <c r="H16" s="104">
        <f>'T1 ANSP'!H16+'T1 MET'!H16+'T1 NSA'!H16</f>
        <v>36895.667134433184</v>
      </c>
      <c r="I16" s="104">
        <f>'T1 ANSP'!I16+'T1 MET'!I16+'T1 NSA'!I16</f>
        <v>36720.76</v>
      </c>
      <c r="J16" s="431">
        <f>'T1 ANSP'!J16+'T1 MET'!J16+'T1 NSA'!J16</f>
        <v>27000.198328976832</v>
      </c>
      <c r="K16" s="820">
        <f>'T1 ANSP'!K16+'T1 MET'!K16+'T1 NSA'!K16</f>
        <v>30232.662584008573</v>
      </c>
      <c r="L16" s="821">
        <f>'T1 ANSP'!L16+'T1 MET'!L16+'T1 NSA'!L16</f>
        <v>31119.151818743827</v>
      </c>
      <c r="M16" s="579">
        <f>'T1 ANSP'!M16+'T1 MET'!M16+'T1 NSA'!M16</f>
        <v>61351.814402752396</v>
      </c>
      <c r="N16" s="579">
        <f>'T1 ANSP'!N16+'T1 MET'!N16+'T1 NSA'!N16</f>
        <v>31350.645031353946</v>
      </c>
      <c r="O16" s="579">
        <f>'T1 ANSP'!O16+'T1 MET'!O16+'T1 NSA'!O16</f>
        <v>34945.644861458975</v>
      </c>
      <c r="P16" s="580">
        <f>'T1 ANSP'!P16+'T1 MET'!P16+'T1 NSA'!P16</f>
        <v>39570.232435075886</v>
      </c>
      <c r="Q16" s="97"/>
      <c r="R16" s="820">
        <f>'T1 ANSP'!R16+'T1 MET'!R16+'T1 NSA'!R16</f>
        <v>30232.662584008573</v>
      </c>
      <c r="S16" s="104"/>
      <c r="T16" s="104"/>
      <c r="U16" s="105"/>
      <c r="V16" s="105"/>
      <c r="W16" s="106"/>
      <c r="Y16" s="561"/>
      <c r="Z16" s="561"/>
      <c r="AA16" s="561"/>
      <c r="AB16" s="561"/>
    </row>
    <row r="17" spans="1:28" ht="12" customHeight="1">
      <c r="A17" s="102" t="s">
        <v>97</v>
      </c>
      <c r="B17" s="102"/>
      <c r="C17" s="970"/>
      <c r="D17" s="970"/>
      <c r="E17" s="970"/>
      <c r="F17" s="103">
        <f>'T1 ANSP'!F17+'T1 MET'!F17+'T1 NSA'!F17</f>
        <v>0</v>
      </c>
      <c r="G17" s="104">
        <f>'T1 ANSP'!G17+'T1 MET'!G17+'T1 NSA'!G17</f>
        <v>0</v>
      </c>
      <c r="H17" s="104">
        <f>'T1 ANSP'!H17+'T1 MET'!H17+'T1 NSA'!H17</f>
        <v>0</v>
      </c>
      <c r="I17" s="104">
        <f>'T1 ANSP'!I17+'T1 MET'!I17+'T1 NSA'!I17</f>
        <v>0</v>
      </c>
      <c r="J17" s="431">
        <f>'T1 ANSP'!J17+'T1 MET'!J17+'T1 NSA'!J17</f>
        <v>0</v>
      </c>
      <c r="K17" s="820">
        <f>'T1 ANSP'!K17+'T1 MET'!K17+'T1 NSA'!K17</f>
        <v>0</v>
      </c>
      <c r="L17" s="821">
        <f>'T1 ANSP'!L17+'T1 MET'!L17+'T1 NSA'!L17</f>
        <v>0</v>
      </c>
      <c r="M17" s="579">
        <f>'T1 ANSP'!M17+'T1 MET'!M17+'T1 NSA'!M17</f>
        <v>0</v>
      </c>
      <c r="N17" s="579">
        <f>'T1 ANSP'!N17+'T1 MET'!N17+'T1 NSA'!N17</f>
        <v>0</v>
      </c>
      <c r="O17" s="579">
        <f>'T1 ANSP'!O17+'T1 MET'!O17+'T1 NSA'!O17</f>
        <v>0</v>
      </c>
      <c r="P17" s="580">
        <f>'T1 ANSP'!P17+'T1 MET'!P17+'T1 NSA'!P17</f>
        <v>0</v>
      </c>
      <c r="Q17" s="97"/>
      <c r="R17" s="820">
        <f>'T1 ANSP'!R17+'T1 MET'!R17+'T1 NSA'!R17</f>
        <v>0</v>
      </c>
      <c r="S17" s="104"/>
      <c r="T17" s="104"/>
      <c r="U17" s="105"/>
      <c r="V17" s="105"/>
      <c r="W17" s="106"/>
      <c r="Y17" s="561"/>
      <c r="Z17" s="561"/>
      <c r="AA17" s="561"/>
      <c r="AB17" s="561"/>
    </row>
    <row r="18" spans="1:28" ht="12" customHeight="1">
      <c r="A18" s="108" t="s">
        <v>98</v>
      </c>
      <c r="B18" s="432"/>
      <c r="C18" s="972"/>
      <c r="D18" s="972"/>
      <c r="E18" s="972"/>
      <c r="F18" s="109">
        <f>'T1 ANSP'!F18+'T1 MET'!F18+'T1 NSA'!F18</f>
        <v>455739.49281296582</v>
      </c>
      <c r="G18" s="567">
        <f>'T1 ANSP'!G18+'T1 MET'!G18+'T1 NSA'!G18</f>
        <v>462461.77200000006</v>
      </c>
      <c r="H18" s="567">
        <f>'T1 ANSP'!H18+'T1 MET'!H18+'T1 NSA'!H18</f>
        <v>461366.29791440716</v>
      </c>
      <c r="I18" s="567">
        <f>'T1 ANSP'!I18+'T1 MET'!I18+'T1 NSA'!I18</f>
        <v>479562.04411526863</v>
      </c>
      <c r="J18" s="219">
        <f>'T1 ANSP'!J18+'T1 MET'!J18+'T1 NSA'!J18</f>
        <v>468976.47254812537</v>
      </c>
      <c r="K18" s="737">
        <f>'T1 ANSP'!K18+'T1 MET'!K18+'T1 NSA'!K18</f>
        <v>410605.60471809923</v>
      </c>
      <c r="L18" s="738">
        <f>'T1 ANSP'!L18+'T1 MET'!L18+'T1 NSA'!L18</f>
        <v>412194.68856966775</v>
      </c>
      <c r="M18" s="582">
        <f>'T1 ANSP'!M18+'T1 MET'!M18+'T1 NSA'!M18</f>
        <v>822800.29328776698</v>
      </c>
      <c r="N18" s="582">
        <f>'T1 ANSP'!N18+'T1 MET'!N18+'T1 NSA'!N18</f>
        <v>410269.13213152206</v>
      </c>
      <c r="O18" s="582">
        <f>'T1 ANSP'!O18+'T1 MET'!O18+'T1 NSA'!O18</f>
        <v>431969.34083798662</v>
      </c>
      <c r="P18" s="581">
        <f>'T1 ANSP'!P18+'T1 MET'!P18+'T1 NSA'!P18</f>
        <v>447794.72718449373</v>
      </c>
      <c r="Q18" s="97"/>
      <c r="R18" s="737">
        <f>'T1 ANSP'!R18+'T1 MET'!R18+'T1 NSA'!R18</f>
        <v>410605.60471809923</v>
      </c>
      <c r="S18" s="110"/>
      <c r="T18" s="567"/>
      <c r="U18" s="131"/>
      <c r="V18" s="433"/>
      <c r="W18" s="434"/>
      <c r="Y18" s="561"/>
      <c r="Z18" s="561"/>
      <c r="AA18" s="561"/>
      <c r="AB18" s="561"/>
    </row>
    <row r="19" spans="1:28" ht="12" customHeight="1">
      <c r="A19" s="113" t="s">
        <v>99</v>
      </c>
      <c r="B19" s="114"/>
      <c r="C19" s="973"/>
      <c r="D19" s="973"/>
      <c r="E19" s="973"/>
      <c r="F19" s="115"/>
      <c r="G19" s="116">
        <f t="shared" ref="G19:K19" si="0">G18/F18-1</f>
        <v>1.4750266968399428E-2</v>
      </c>
      <c r="H19" s="116">
        <f t="shared" si="0"/>
        <v>-2.3687884100243028E-3</v>
      </c>
      <c r="I19" s="116">
        <f t="shared" si="0"/>
        <v>3.9438828287013505E-2</v>
      </c>
      <c r="J19" s="117">
        <f t="shared" si="0"/>
        <v>-2.207341405984764E-2</v>
      </c>
      <c r="K19" s="739">
        <f t="shared" si="0"/>
        <v>-0.12446438413610661</v>
      </c>
      <c r="L19" s="740">
        <f t="shared" ref="L19" si="1">L18/K18-1</f>
        <v>3.8700978099397432E-3</v>
      </c>
      <c r="M19" s="716"/>
      <c r="N19" s="584">
        <f t="shared" ref="N19" si="2">N18/L18-1</f>
        <v>-4.6714731934742737E-3</v>
      </c>
      <c r="O19" s="584">
        <f t="shared" ref="O19" si="3">O18/N18-1</f>
        <v>5.2892618544619241E-2</v>
      </c>
      <c r="P19" s="583">
        <f t="shared" ref="P19" si="4">P18/O18-1</f>
        <v>3.6635438792501196E-2</v>
      </c>
      <c r="Q19" s="97"/>
      <c r="R19" s="739">
        <f>+R18/J18-1</f>
        <v>-0.12446438413610661</v>
      </c>
      <c r="S19" s="116"/>
      <c r="T19" s="116"/>
      <c r="U19" s="116"/>
      <c r="V19" s="116"/>
      <c r="W19" s="117"/>
    </row>
    <row r="20" spans="1:28" ht="12" customHeight="1">
      <c r="A20" s="114"/>
      <c r="B20" s="114"/>
      <c r="C20" s="974"/>
      <c r="D20" s="974"/>
      <c r="E20" s="974"/>
      <c r="F20" s="114"/>
      <c r="G20" s="114"/>
      <c r="H20" s="114"/>
      <c r="I20" s="114"/>
      <c r="J20" s="114"/>
      <c r="K20" s="1427"/>
      <c r="L20" s="822"/>
      <c r="M20" s="119"/>
      <c r="N20" s="585"/>
      <c r="O20" s="585"/>
      <c r="P20" s="585"/>
      <c r="Q20" s="97"/>
      <c r="R20" s="822"/>
      <c r="S20" s="114"/>
      <c r="T20" s="114"/>
      <c r="U20" s="114"/>
      <c r="V20" s="114"/>
      <c r="W20" s="114"/>
    </row>
    <row r="21" spans="1:28" ht="15.6" customHeight="1">
      <c r="A21" s="91" t="s">
        <v>100</v>
      </c>
      <c r="B21" s="91"/>
      <c r="C21" s="969"/>
      <c r="D21" s="969"/>
      <c r="E21" s="969"/>
      <c r="F21" s="91"/>
      <c r="G21" s="91"/>
      <c r="H21" s="91"/>
      <c r="I21" s="91"/>
      <c r="J21" s="91"/>
      <c r="K21" s="742"/>
      <c r="L21" s="742"/>
      <c r="M21" s="93"/>
      <c r="N21" s="586"/>
      <c r="O21" s="586"/>
      <c r="P21" s="587"/>
      <c r="Q21" s="97"/>
      <c r="R21" s="742"/>
      <c r="S21" s="93"/>
      <c r="T21" s="93"/>
      <c r="U21" s="94"/>
      <c r="V21" s="94"/>
      <c r="W21" s="94"/>
    </row>
    <row r="22" spans="1:28" ht="12" customHeight="1">
      <c r="A22" s="96" t="s">
        <v>101</v>
      </c>
      <c r="B22" s="102"/>
      <c r="C22" s="970"/>
      <c r="D22" s="970"/>
      <c r="E22" s="970"/>
      <c r="F22" s="98">
        <f>'T1 ANSP'!F22+'T1 MET'!F22+'T1 NSA'!F22</f>
        <v>234835.23350346979</v>
      </c>
      <c r="G22" s="99">
        <f>'T1 ANSP'!G22+'T1 MET'!G22+'T1 NSA'!G22</f>
        <v>239570.28755249322</v>
      </c>
      <c r="H22" s="99">
        <f>'T1 ANSP'!H22+'T1 MET'!H22+'T1 NSA'!H22</f>
        <v>238774.70139291722</v>
      </c>
      <c r="I22" s="99">
        <f>'T1 ANSP'!I22+'T1 MET'!I22+'T1 NSA'!I22</f>
        <v>248144.28336978279</v>
      </c>
      <c r="J22" s="709">
        <f>'T1 ANSP'!J22+'T1 MET'!J22+'T1 NSA'!J22</f>
        <v>242580.60261348606</v>
      </c>
      <c r="K22" s="750">
        <v>210929.42191758478</v>
      </c>
      <c r="L22" s="751">
        <f>'T1 ANSP'!L22+'T1 MET'!L22+'T1 NSA'!L22</f>
        <v>211662.22078103485</v>
      </c>
      <c r="M22" s="588">
        <f>'T1 ANSP'!M22+'T1 MET'!M22+'T1 NSA'!M22</f>
        <v>422591.64269861963</v>
      </c>
      <c r="N22" s="588">
        <f>'T1 ANSP'!N22+'T1 MET'!N22+'T1 NSA'!N22</f>
        <v>210557.2924678316</v>
      </c>
      <c r="O22" s="588">
        <f>'T1 ANSP'!O22+'T1 MET'!O22+'T1 NSA'!O22</f>
        <v>221852.1754897848</v>
      </c>
      <c r="P22" s="589">
        <f>'T1 ANSP'!P22+'T1 MET'!P22+'T1 NSA'!P22</f>
        <v>230061.31148527423</v>
      </c>
      <c r="Q22" s="97"/>
      <c r="R22" s="750">
        <f>'T1 ANSP'!R22+'T1 MET'!R22+'T1 NSA'!R22</f>
        <v>210929.42191758478</v>
      </c>
      <c r="S22" s="122"/>
      <c r="T22" s="564"/>
      <c r="U22" s="100"/>
      <c r="V22" s="123"/>
      <c r="W22" s="124"/>
      <c r="Y22" s="561"/>
      <c r="Z22" s="561"/>
      <c r="AA22" s="561"/>
      <c r="AB22" s="561"/>
    </row>
    <row r="23" spans="1:28" ht="12" customHeight="1">
      <c r="A23" s="120" t="s">
        <v>102</v>
      </c>
      <c r="B23" s="102"/>
      <c r="C23" s="970"/>
      <c r="D23" s="970"/>
      <c r="E23" s="970"/>
      <c r="F23" s="103">
        <f>'T1 ANSP'!F23+'T1 MET'!F23+'T1 NSA'!F23</f>
        <v>10801.694038136149</v>
      </c>
      <c r="G23" s="104">
        <f>'T1 ANSP'!G23+'T1 MET'!G23+'T1 NSA'!G23</f>
        <v>11019.486850754049</v>
      </c>
      <c r="H23" s="104">
        <f>'T1 ANSP'!H23+'T1 MET'!H23+'T1 NSA'!H23</f>
        <v>10982.892366047055</v>
      </c>
      <c r="I23" s="104">
        <f>'T1 ANSP'!I23+'T1 MET'!I23+'T1 NSA'!I23</f>
        <v>11413.863946228963</v>
      </c>
      <c r="J23" s="431">
        <f>'T1 ANSP'!J23+'T1 MET'!J23+'T1 NSA'!J23</f>
        <v>11157.951964980573</v>
      </c>
      <c r="K23" s="752">
        <v>9702.096261618768</v>
      </c>
      <c r="L23" s="753">
        <f>'T1 ANSP'!L23+'T1 MET'!L23+'T1 NSA'!L23</f>
        <v>9735.8027263165932</v>
      </c>
      <c r="M23" s="590">
        <f>'T1 ANSP'!M23+'T1 MET'!M23+'T1 NSA'!M23</f>
        <v>19437.898987935361</v>
      </c>
      <c r="N23" s="590">
        <f>'T1 ANSP'!N23+'T1 MET'!N23+'T1 NSA'!N23</f>
        <v>9684.9794662923232</v>
      </c>
      <c r="O23" s="590">
        <f>'T1 ANSP'!O23+'T1 MET'!O23+'T1 NSA'!O23</f>
        <v>10204.508896309586</v>
      </c>
      <c r="P23" s="591">
        <f>'T1 ANSP'!P23+'T1 MET'!P23+'T1 NSA'!P23</f>
        <v>10582.10357669551</v>
      </c>
      <c r="Q23" s="97"/>
      <c r="R23" s="752">
        <f>'T1 ANSP'!R23+'T1 MET'!R23+'T1 NSA'!R23</f>
        <v>9702.096261618768</v>
      </c>
      <c r="S23" s="126"/>
      <c r="T23" s="563"/>
      <c r="U23" s="105"/>
      <c r="V23" s="127"/>
      <c r="W23" s="128"/>
      <c r="Y23" s="561"/>
      <c r="Z23" s="561"/>
      <c r="AA23" s="561"/>
      <c r="AB23" s="561"/>
    </row>
    <row r="24" spans="1:28" ht="12" customHeight="1">
      <c r="A24" s="120" t="s">
        <v>103</v>
      </c>
      <c r="B24" s="102"/>
      <c r="C24" s="970"/>
      <c r="D24" s="970"/>
      <c r="E24" s="970"/>
      <c r="F24" s="103">
        <f>'T1 ANSP'!F24+'T1 MET'!F24+'T1 NSA'!F24</f>
        <v>121320.27276181207</v>
      </c>
      <c r="G24" s="104">
        <f>'T1 ANSP'!G24+'T1 MET'!G24+'T1 NSA'!G24</f>
        <v>123766.43383053689</v>
      </c>
      <c r="H24" s="104">
        <f>'T1 ANSP'!H24+'T1 MET'!H24+'T1 NSA'!H24</f>
        <v>123355.41933127819</v>
      </c>
      <c r="I24" s="104">
        <f>'T1 ANSP'!I24+'T1 MET'!I24+'T1 NSA'!I24</f>
        <v>128195.91837482266</v>
      </c>
      <c r="J24" s="431">
        <f>'T1 ANSP'!J24+'T1 MET'!J24+'T1 NSA'!J24</f>
        <v>125321.61817168273</v>
      </c>
      <c r="K24" s="752">
        <v>108970.0338359195</v>
      </c>
      <c r="L24" s="753">
        <f>'T1 ANSP'!L24+'T1 MET'!L24+'T1 NSA'!L24</f>
        <v>109348.61125873288</v>
      </c>
      <c r="M24" s="590">
        <f>'T1 ANSP'!M24+'T1 MET'!M24+'T1 NSA'!M24</f>
        <v>218318.64509465237</v>
      </c>
      <c r="N24" s="590">
        <f>'T1 ANSP'!N24+'T1 MET'!N24+'T1 NSA'!N24</f>
        <v>108777.78489140388</v>
      </c>
      <c r="O24" s="590">
        <f>'T1 ANSP'!O24+'T1 MET'!O24+'T1 NSA'!O24</f>
        <v>114612.93000243491</v>
      </c>
      <c r="P24" s="591">
        <f>'T1 ANSP'!P24+'T1 MET'!P24+'T1 NSA'!P24</f>
        <v>118853.92122622761</v>
      </c>
      <c r="Q24" s="97"/>
      <c r="R24" s="752">
        <f>'T1 ANSP'!R24+'T1 MET'!R24+'T1 NSA'!R24</f>
        <v>108970.0338359195</v>
      </c>
      <c r="S24" s="126"/>
      <c r="T24" s="563"/>
      <c r="U24" s="105"/>
      <c r="V24" s="127"/>
      <c r="W24" s="128"/>
      <c r="Y24" s="561"/>
      <c r="Z24" s="561"/>
      <c r="AA24" s="561"/>
      <c r="AB24" s="561"/>
    </row>
    <row r="25" spans="1:28" ht="12" customHeight="1">
      <c r="A25" s="120" t="s">
        <v>104</v>
      </c>
      <c r="B25" s="102"/>
      <c r="C25" s="970"/>
      <c r="D25" s="970"/>
      <c r="E25" s="970"/>
      <c r="F25" s="103">
        <f>'T1 ANSP'!F25+'T1 MET'!F25+'T1 NSA'!F25</f>
        <v>61837.258478508527</v>
      </c>
      <c r="G25" s="104">
        <f>'T1 ANSP'!G25+'T1 MET'!G25+'T1 NSA'!G25</f>
        <v>63084.073135641534</v>
      </c>
      <c r="H25" s="104">
        <f>'T1 ANSP'!H25+'T1 MET'!H25+'T1 NSA'!H25</f>
        <v>62874.577976666958</v>
      </c>
      <c r="I25" s="104">
        <f>'T1 ANSP'!I25+'T1 MET'!I25+'T1 NSA'!I25</f>
        <v>65341.792925221293</v>
      </c>
      <c r="J25" s="431">
        <f>'T1 ANSP'!J25+'T1 MET'!J25+'T1 NSA'!J25</f>
        <v>63876.754638047743</v>
      </c>
      <c r="K25" s="752">
        <v>55542.309585415154</v>
      </c>
      <c r="L25" s="753">
        <f>'T1 ANSP'!L25+'T1 MET'!L25+'T1 NSA'!L25</f>
        <v>55735.271482184049</v>
      </c>
      <c r="M25" s="590">
        <f>'T1 ANSP'!M25+'T1 MET'!M25+'T1 NSA'!M25</f>
        <v>111277.58106759921</v>
      </c>
      <c r="N25" s="590">
        <f>'T1 ANSP'!N25+'T1 MET'!N25+'T1 NSA'!N25</f>
        <v>55444.319798518009</v>
      </c>
      <c r="O25" s="590">
        <f>'T1 ANSP'!O25+'T1 MET'!O25+'T1 NSA'!O25</f>
        <v>58418.508433906638</v>
      </c>
      <c r="P25" s="591">
        <f>'T1 ANSP'!P25+'T1 MET'!P25+'T1 NSA'!P25</f>
        <v>60580.152687918773</v>
      </c>
      <c r="Q25" s="97"/>
      <c r="R25" s="752">
        <f>'T1 ANSP'!R25+'T1 MET'!R25+'T1 NSA'!R25</f>
        <v>55542.309585415154</v>
      </c>
      <c r="S25" s="126"/>
      <c r="T25" s="563"/>
      <c r="U25" s="105"/>
      <c r="V25" s="127"/>
      <c r="W25" s="128"/>
      <c r="Y25" s="561"/>
      <c r="Z25" s="561"/>
      <c r="AA25" s="561"/>
      <c r="AB25" s="561"/>
    </row>
    <row r="26" spans="1:28" ht="12" customHeight="1">
      <c r="A26" s="120" t="s">
        <v>105</v>
      </c>
      <c r="B26" s="102"/>
      <c r="C26" s="970"/>
      <c r="D26" s="970"/>
      <c r="E26" s="970"/>
      <c r="F26" s="103">
        <f>'T1 ANSP'!F26+'T1 MET'!F26+'T1 NSA'!F26</f>
        <v>71.088108476670826</v>
      </c>
      <c r="G26" s="104">
        <f>'T1 ANSP'!G26+'T1 MET'!G26+'T1 NSA'!G26</f>
        <v>72.521446528476261</v>
      </c>
      <c r="H26" s="104">
        <f>'T1 ANSP'!H26+'T1 MET'!H26+'T1 NSA'!H26</f>
        <v>72.280610906830802</v>
      </c>
      <c r="I26" s="104">
        <f>'T1 ANSP'!I26+'T1 MET'!I26+'T1 NSA'!I26</f>
        <v>75.116921057272734</v>
      </c>
      <c r="J26" s="431">
        <f>'T1 ANSP'!J26+'T1 MET'!J26+'T1 NSA'!J26</f>
        <v>73.432713134030692</v>
      </c>
      <c r="K26" s="752">
        <v>63.851435623154082</v>
      </c>
      <c r="L26" s="753">
        <f>'T1 ANSP'!L26+'T1 MET'!L26+'T1 NSA'!L26</f>
        <v>64.073264607602653</v>
      </c>
      <c r="M26" s="590">
        <f>'T1 ANSP'!M26+'T1 MET'!M26+'T1 NSA'!M26</f>
        <v>127.92470023075674</v>
      </c>
      <c r="N26" s="590">
        <f>'T1 ANSP'!N26+'T1 MET'!N26+'T1 NSA'!N26</f>
        <v>63.738786570270037</v>
      </c>
      <c r="O26" s="590">
        <f>'T1 ANSP'!O26+'T1 MET'!O26+'T1 NSA'!O26</f>
        <v>67.157913639366583</v>
      </c>
      <c r="P26" s="591">
        <f>'T1 ANSP'!P26+'T1 MET'!P26+'T1 NSA'!P26</f>
        <v>69.642939738487613</v>
      </c>
      <c r="Q26" s="97"/>
      <c r="R26" s="752">
        <f>'T1 ANSP'!R26+'T1 MET'!R26+'T1 NSA'!R26</f>
        <v>63.851435623154082</v>
      </c>
      <c r="S26" s="126"/>
      <c r="T26" s="563"/>
      <c r="U26" s="105"/>
      <c r="V26" s="127"/>
      <c r="W26" s="128"/>
      <c r="Y26" s="561"/>
      <c r="Z26" s="561"/>
      <c r="AA26" s="561"/>
      <c r="AB26" s="561"/>
    </row>
    <row r="27" spans="1:28" ht="12" customHeight="1">
      <c r="A27" s="120" t="s">
        <v>106</v>
      </c>
      <c r="B27" s="102"/>
      <c r="C27" s="970"/>
      <c r="D27" s="970"/>
      <c r="E27" s="970"/>
      <c r="F27" s="103">
        <f>'T1 ANSP'!F27+'T1 MET'!F27+'T1 NSA'!F27</f>
        <v>18505.838941811566</v>
      </c>
      <c r="G27" s="104">
        <f>'T1 ANSP'!G27+'T1 MET'!G27+'T1 NSA'!G27</f>
        <v>18878.969184045905</v>
      </c>
      <c r="H27" s="104">
        <f>'T1 ANSP'!H27+'T1 MET'!H27+'T1 NSA'!H27</f>
        <v>18816.274236590885</v>
      </c>
      <c r="I27" s="104">
        <f>'T1 ANSP'!I27+'T1 MET'!I27+'T1 NSA'!I27</f>
        <v>19554.629778155602</v>
      </c>
      <c r="J27" s="431">
        <f>'T1 ANSP'!J27+'T1 MET'!J27+'T1 NSA'!J27</f>
        <v>19116.192446794219</v>
      </c>
      <c r="K27" s="752">
        <v>16621.969681937953</v>
      </c>
      <c r="L27" s="753">
        <f>'T1 ANSP'!L27+'T1 MET'!L27+'T1 NSA'!L27</f>
        <v>16679.716772791806</v>
      </c>
      <c r="M27" s="590">
        <f>'T1 ANSP'!M27+'T1 MET'!M27+'T1 NSA'!M27</f>
        <v>33301.686454729759</v>
      </c>
      <c r="N27" s="590">
        <f>'T1 ANSP'!N27+'T1 MET'!N27+'T1 NSA'!N27</f>
        <v>16592.644591225999</v>
      </c>
      <c r="O27" s="590">
        <f>'T1 ANSP'!O27+'T1 MET'!O27+'T1 NSA'!O27</f>
        <v>17482.720529637743</v>
      </c>
      <c r="P27" s="591">
        <f>'T1 ANSP'!P27+'T1 MET'!P27+'T1 NSA'!P27</f>
        <v>18129.628904920006</v>
      </c>
      <c r="Q27" s="97"/>
      <c r="R27" s="752">
        <f>'T1 ANSP'!R27+'T1 MET'!R27+'T1 NSA'!R27</f>
        <v>16621.969681937953</v>
      </c>
      <c r="S27" s="126"/>
      <c r="T27" s="563"/>
      <c r="U27" s="105"/>
      <c r="V27" s="127"/>
      <c r="W27" s="128"/>
      <c r="Y27" s="561"/>
      <c r="Z27" s="561"/>
      <c r="AA27" s="561"/>
      <c r="AB27" s="561"/>
    </row>
    <row r="28" spans="1:28" ht="12" customHeight="1">
      <c r="A28" s="120" t="s">
        <v>107</v>
      </c>
      <c r="B28" s="102"/>
      <c r="C28" s="970"/>
      <c r="D28" s="970"/>
      <c r="E28" s="970"/>
      <c r="F28" s="103">
        <f>'T1 ANSP'!F28+'T1 MET'!F28+'T1 NSA'!F28</f>
        <v>6988.4769807511202</v>
      </c>
      <c r="G28" s="104">
        <f>'T1 ANSP'!G28+'T1 MET'!G28+'T1 NSA'!G28</f>
        <v>5045</v>
      </c>
      <c r="H28" s="104">
        <f>'T1 ANSP'!H28+'T1 MET'!H28+'T1 NSA'!H28</f>
        <v>5423.8119999999999</v>
      </c>
      <c r="I28" s="104">
        <f>'T1 ANSP'!I28+'T1 MET'!I28+'T1 NSA'!I28</f>
        <v>5748.7719999999999</v>
      </c>
      <c r="J28" s="431">
        <f>'T1 ANSP'!J28+'T1 MET'!J28+'T1 NSA'!J28</f>
        <v>5690.92</v>
      </c>
      <c r="K28" s="752">
        <f>'T1 ANSP'!K28+'T1 MET'!K28+'T1 NSA'!K28</f>
        <v>7949.491</v>
      </c>
      <c r="L28" s="753">
        <f>'T1 ANSP'!L28+'T1 MET'!L28+'T1 NSA'!L28</f>
        <v>8124.3798020000004</v>
      </c>
      <c r="M28" s="590">
        <f>'T1 ANSP'!M28+'T1 MET'!M28+'T1 NSA'!M28</f>
        <v>16073.870802000001</v>
      </c>
      <c r="N28" s="590">
        <f>'T1 ANSP'!N28+'T1 MET'!N28+'T1 NSA'!N28</f>
        <v>8286.8673980399999</v>
      </c>
      <c r="O28" s="590">
        <f>'T1 ANSP'!O28+'T1 MET'!O28+'T1 NSA'!O28</f>
        <v>8452.6047460008012</v>
      </c>
      <c r="P28" s="591">
        <f>'T1 ANSP'!P28+'T1 MET'!P28+'T1 NSA'!P28</f>
        <v>8621.6568409208157</v>
      </c>
      <c r="Q28" s="97"/>
      <c r="R28" s="752">
        <f>'T1 ANSP'!R28+'T1 MET'!R28+'T1 NSA'!R28</f>
        <v>7949.491</v>
      </c>
      <c r="S28" s="126"/>
      <c r="T28" s="563"/>
      <c r="U28" s="105"/>
      <c r="V28" s="127"/>
      <c r="W28" s="128"/>
      <c r="Y28" s="561"/>
      <c r="Z28" s="561"/>
      <c r="AA28" s="561"/>
      <c r="AB28" s="561"/>
    </row>
    <row r="29" spans="1:28" ht="12" customHeight="1">
      <c r="A29" s="120" t="s">
        <v>108</v>
      </c>
      <c r="B29" s="102"/>
      <c r="C29" s="970"/>
      <c r="D29" s="970"/>
      <c r="E29" s="970"/>
      <c r="F29" s="103">
        <f>'T1 ANSP'!F29+'T1 MET'!F29+'T1 NSA'!F29</f>
        <v>1379.6299999999999</v>
      </c>
      <c r="G29" s="104">
        <f>'T1 ANSP'!G29+'T1 MET'!G29+'T1 NSA'!G29</f>
        <v>1025</v>
      </c>
      <c r="H29" s="104">
        <f>'T1 ANSP'!H29+'T1 MET'!H29+'T1 NSA'!H29</f>
        <v>1066.3400000000001</v>
      </c>
      <c r="I29" s="104">
        <f>'T1 ANSP'!I29+'T1 MET'!I29+'T1 NSA'!I29</f>
        <v>1087.6668</v>
      </c>
      <c r="J29" s="431">
        <f>'T1 ANSP'!J29+'T1 MET'!J29+'T1 NSA'!J29</f>
        <v>1159</v>
      </c>
      <c r="K29" s="752">
        <f>'T1 ANSP'!K29+'T1 MET'!K29+'T1 NSA'!K29</f>
        <v>826.43100000000004</v>
      </c>
      <c r="L29" s="753">
        <f>'T1 ANSP'!L29+'T1 MET'!L29+'T1 NSA'!L29</f>
        <v>844.612482</v>
      </c>
      <c r="M29" s="590">
        <f>'T1 ANSP'!M29+'T1 MET'!M29+'T1 NSA'!M29</f>
        <v>1671.043482</v>
      </c>
      <c r="N29" s="590">
        <f>'T1 ANSP'!N29+'T1 MET'!N29+'T1 NSA'!N29</f>
        <v>861.50473164000005</v>
      </c>
      <c r="O29" s="590">
        <f>'T1 ANSP'!O29+'T1 MET'!O29+'T1 NSA'!O29</f>
        <v>878.73482627279998</v>
      </c>
      <c r="P29" s="591">
        <f>'T1 ANSP'!P29+'T1 MET'!P29+'T1 NSA'!P29</f>
        <v>896.3095227982559</v>
      </c>
      <c r="Q29" s="97"/>
      <c r="R29" s="752">
        <f>'T1 ANSP'!R29+'T1 MET'!R29+'T1 NSA'!R29</f>
        <v>826.43100000000004</v>
      </c>
      <c r="S29" s="126"/>
      <c r="T29" s="563"/>
      <c r="U29" s="105"/>
      <c r="V29" s="127"/>
      <c r="W29" s="128"/>
      <c r="Y29" s="561"/>
      <c r="Z29" s="561"/>
      <c r="AA29" s="561"/>
      <c r="AB29" s="561"/>
    </row>
    <row r="30" spans="1:28" ht="12" customHeight="1">
      <c r="A30" s="120" t="s">
        <v>109</v>
      </c>
      <c r="B30" s="102"/>
      <c r="C30" s="970"/>
      <c r="D30" s="970"/>
      <c r="E30" s="970"/>
      <c r="F30" s="103">
        <f>'T1 ANSP'!F30+'T1 MET'!F30+'T1 NSA'!F30</f>
        <v>0</v>
      </c>
      <c r="G30" s="104">
        <f>'T1 ANSP'!G30+'T1 MET'!G30+'T1 NSA'!G30</f>
        <v>0</v>
      </c>
      <c r="H30" s="104">
        <f>'T1 ANSP'!H30+'T1 MET'!H30+'T1 NSA'!H30</f>
        <v>0</v>
      </c>
      <c r="I30" s="104">
        <f>'T1 ANSP'!I30+'T1 MET'!I30+'T1 NSA'!I30</f>
        <v>0</v>
      </c>
      <c r="J30" s="431">
        <f>'T1 ANSP'!J30+'T1 MET'!J30+'T1 NSA'!J30</f>
        <v>0</v>
      </c>
      <c r="K30" s="752">
        <f>'T1 ANSP'!K30+'T1 MET'!K30+'T1 NSA'!K30</f>
        <v>0</v>
      </c>
      <c r="L30" s="753">
        <f>'T1 ANSP'!L30+'T1 MET'!L30+'T1 NSA'!L30</f>
        <v>0</v>
      </c>
      <c r="M30" s="590">
        <f>'T1 ANSP'!M30+'T1 MET'!M30+'T1 NSA'!M30</f>
        <v>0</v>
      </c>
      <c r="N30" s="590">
        <f>'T1 ANSP'!N30+'T1 MET'!N30+'T1 NSA'!N30</f>
        <v>0</v>
      </c>
      <c r="O30" s="590">
        <f>'T1 ANSP'!O30+'T1 MET'!O30+'T1 NSA'!O30</f>
        <v>0</v>
      </c>
      <c r="P30" s="591">
        <f>'T1 ANSP'!P30+'T1 MET'!P30+'T1 NSA'!P30</f>
        <v>0</v>
      </c>
      <c r="Q30" s="97"/>
      <c r="R30" s="752">
        <f>'T1 ANSP'!R30+'T1 MET'!R30+'T1 NSA'!R30</f>
        <v>0</v>
      </c>
      <c r="S30" s="126"/>
      <c r="T30" s="563"/>
      <c r="U30" s="105"/>
      <c r="V30" s="127"/>
      <c r="W30" s="128"/>
      <c r="Y30" s="561"/>
      <c r="Z30" s="561"/>
      <c r="AA30" s="561"/>
      <c r="AB30" s="561"/>
    </row>
    <row r="31" spans="1:28" s="112" customFormat="1" ht="12" customHeight="1">
      <c r="A31" s="130" t="s">
        <v>110</v>
      </c>
      <c r="B31" s="108"/>
      <c r="C31" s="989"/>
      <c r="D31" s="989"/>
      <c r="E31" s="989"/>
      <c r="F31" s="435">
        <f>'T1 ANSP'!F31+'T1 MET'!F31+'T1 NSA'!F31</f>
        <v>455739.49281296594</v>
      </c>
      <c r="G31" s="436">
        <f>'T1 ANSP'!G31+'T1 MET'!G31+'T1 NSA'!G31</f>
        <v>462461.77200000006</v>
      </c>
      <c r="H31" s="436">
        <f>'T1 ANSP'!H31+'T1 MET'!H31+'T1 NSA'!H31</f>
        <v>461366.29791440716</v>
      </c>
      <c r="I31" s="436">
        <f>'T1 ANSP'!I31+'T1 MET'!I31+'T1 NSA'!I31</f>
        <v>479562.04411526857</v>
      </c>
      <c r="J31" s="1030">
        <f>'T1 ANSP'!J31+'T1 MET'!J31+'T1 NSA'!J31</f>
        <v>468976.47254812543</v>
      </c>
      <c r="K31" s="737">
        <f>'T1 ANSP'!K31+'T1 MET'!K31+'T1 NSA'!K31</f>
        <v>410605.60471809929</v>
      </c>
      <c r="L31" s="738">
        <f>'T1 ANSP'!L31+'T1 MET'!L31+'T1 NSA'!L31</f>
        <v>412194.68856966781</v>
      </c>
      <c r="M31" s="582">
        <f>'T1 ANSP'!M31+'T1 MET'!M31+'T1 NSA'!M31</f>
        <v>822800.2932877671</v>
      </c>
      <c r="N31" s="582">
        <f>'T1 ANSP'!N31+'T1 MET'!N31+'T1 NSA'!N31</f>
        <v>410269.13213152211</v>
      </c>
      <c r="O31" s="582">
        <f>'T1 ANSP'!O31+'T1 MET'!O31+'T1 NSA'!O31</f>
        <v>431969.34083798673</v>
      </c>
      <c r="P31" s="581">
        <f>'T1 ANSP'!P31+'T1 MET'!P31+'T1 NSA'!P31</f>
        <v>447794.72718449373</v>
      </c>
      <c r="Q31" s="97"/>
      <c r="R31" s="737">
        <f>'T1 ANSP'!R31+'T1 MET'!R31+'T1 NSA'!R31</f>
        <v>410605.60471809929</v>
      </c>
      <c r="S31" s="110"/>
      <c r="T31" s="567"/>
      <c r="U31" s="131"/>
      <c r="V31" s="111"/>
      <c r="W31" s="132"/>
      <c r="Y31" s="561"/>
      <c r="Z31" s="561"/>
      <c r="AA31" s="561"/>
      <c r="AB31" s="561"/>
    </row>
    <row r="32" spans="1:28" ht="12" customHeight="1">
      <c r="A32" s="113" t="s">
        <v>99</v>
      </c>
      <c r="B32" s="529"/>
      <c r="C32" s="973"/>
      <c r="D32" s="973"/>
      <c r="E32" s="973"/>
      <c r="F32" s="115"/>
      <c r="G32" s="116">
        <f t="shared" ref="G32:K32" si="5">G31/F31-1</f>
        <v>1.4750266968399206E-2</v>
      </c>
      <c r="H32" s="116">
        <f t="shared" si="5"/>
        <v>-2.3687884100243028E-3</v>
      </c>
      <c r="I32" s="116">
        <f t="shared" si="5"/>
        <v>3.9438828287013505E-2</v>
      </c>
      <c r="J32" s="117">
        <f t="shared" si="5"/>
        <v>-2.2073414059847418E-2</v>
      </c>
      <c r="K32" s="739">
        <f t="shared" si="5"/>
        <v>-0.12446438413610661</v>
      </c>
      <c r="L32" s="740">
        <f t="shared" ref="L32" si="6">L31/K31-1</f>
        <v>3.8700978099397432E-3</v>
      </c>
      <c r="M32" s="716"/>
      <c r="N32" s="584">
        <f t="shared" ref="N32" si="7">N31/L31-1</f>
        <v>-4.6714731934742737E-3</v>
      </c>
      <c r="O32" s="584">
        <f t="shared" ref="O32" si="8">O31/N31-1</f>
        <v>5.2892618544619241E-2</v>
      </c>
      <c r="P32" s="583">
        <f t="shared" ref="P32" si="9">P31/O31-1</f>
        <v>3.6635438792500752E-2</v>
      </c>
      <c r="Q32" s="97"/>
      <c r="R32" s="739">
        <f>+R31/J31-1</f>
        <v>-0.12446438413610661</v>
      </c>
      <c r="S32" s="116"/>
      <c r="T32" s="116"/>
      <c r="U32" s="116"/>
      <c r="V32" s="204"/>
      <c r="W32" s="205"/>
    </row>
    <row r="33" spans="1:28" ht="12" customHeight="1">
      <c r="A33" s="114"/>
      <c r="B33" s="133"/>
      <c r="C33" s="973"/>
      <c r="D33" s="973"/>
      <c r="E33" s="973"/>
      <c r="F33" s="133"/>
      <c r="G33" s="133"/>
      <c r="H33" s="133"/>
      <c r="I33" s="133"/>
      <c r="J33" s="133"/>
      <c r="K33" s="749"/>
      <c r="L33" s="749"/>
      <c r="M33" s="133"/>
      <c r="N33" s="592"/>
      <c r="O33" s="592"/>
      <c r="P33" s="592"/>
      <c r="Q33" s="97"/>
      <c r="R33" s="749"/>
      <c r="S33" s="133"/>
      <c r="T33" s="133"/>
      <c r="U33" s="119"/>
      <c r="V33" s="119"/>
      <c r="W33" s="119"/>
    </row>
    <row r="34" spans="1:28" ht="15.6" customHeight="1">
      <c r="A34" s="91" t="s">
        <v>111</v>
      </c>
      <c r="B34" s="91"/>
      <c r="C34" s="969"/>
      <c r="D34" s="969"/>
      <c r="E34" s="969"/>
      <c r="F34" s="91"/>
      <c r="G34" s="91"/>
      <c r="H34" s="91"/>
      <c r="I34" s="91"/>
      <c r="J34" s="91"/>
      <c r="K34" s="742"/>
      <c r="L34" s="742"/>
      <c r="M34" s="93"/>
      <c r="N34" s="586"/>
      <c r="O34" s="586"/>
      <c r="P34" s="587"/>
      <c r="Q34" s="97"/>
      <c r="R34" s="742"/>
      <c r="S34" s="93"/>
      <c r="T34" s="93"/>
      <c r="U34" s="93"/>
      <c r="V34" s="93"/>
      <c r="W34" s="93"/>
    </row>
    <row r="35" spans="1:28" ht="12" customHeight="1">
      <c r="A35" s="91" t="s">
        <v>112</v>
      </c>
      <c r="B35" s="91"/>
      <c r="C35" s="969"/>
      <c r="D35" s="969"/>
      <c r="E35" s="969"/>
      <c r="F35" s="91"/>
      <c r="G35" s="91"/>
      <c r="H35" s="91"/>
      <c r="I35" s="91"/>
      <c r="J35" s="91"/>
      <c r="K35" s="742"/>
      <c r="L35" s="742"/>
      <c r="M35" s="93"/>
      <c r="N35" s="586"/>
      <c r="O35" s="586"/>
      <c r="P35" s="586"/>
      <c r="Q35" s="97"/>
      <c r="R35" s="742"/>
      <c r="S35" s="93"/>
      <c r="T35" s="93"/>
      <c r="U35" s="93"/>
      <c r="V35" s="93"/>
      <c r="W35" s="93"/>
    </row>
    <row r="36" spans="1:28" s="83" customFormat="1" ht="12" customHeight="1">
      <c r="A36" s="134" t="s">
        <v>113</v>
      </c>
      <c r="B36" s="959"/>
      <c r="C36" s="971"/>
      <c r="D36" s="971"/>
      <c r="E36" s="971"/>
      <c r="F36" s="121">
        <f>'T1 ANSP'!F36+'T1 MET'!F36+'T1 NSA'!F36</f>
        <v>195167.51066710489</v>
      </c>
      <c r="G36" s="564">
        <f>'T1 ANSP'!G36+'T1 MET'!G36+'T1 NSA'!G36</f>
        <v>435470</v>
      </c>
      <c r="H36" s="564">
        <f>'T1 ANSP'!H36+'T1 MET'!H36+'T1 NSA'!H36</f>
        <v>485445.01315786899</v>
      </c>
      <c r="I36" s="564">
        <f>'T1 ANSP'!I36+'T1 MET'!I36+'T1 NSA'!I36</f>
        <v>483167.89473684219</v>
      </c>
      <c r="J36" s="707">
        <f>'T1 ANSP'!J36+'T1 MET'!J36+'T1 NSA'!J36</f>
        <v>355265.76748653728</v>
      </c>
      <c r="K36" s="750">
        <f>'T1 ANSP'!K36+'T1 MET'!K36+'T1 NSA'!K36</f>
        <v>516797.6510086935</v>
      </c>
      <c r="L36" s="751">
        <f>'T1 ANSP'!L36+'T1 MET'!L36+'T1 NSA'!L36</f>
        <v>531951.31314092013</v>
      </c>
      <c r="M36" s="719"/>
      <c r="N36" s="588">
        <f>'T1 ANSP'!N36+'T1 MET'!N36+'T1 NSA'!N36</f>
        <v>535908.46207442635</v>
      </c>
      <c r="O36" s="588">
        <f>'T1 ANSP'!O36+'T1 MET'!O36+'T1 NSA'!O36</f>
        <v>597361.45062323031</v>
      </c>
      <c r="P36" s="589">
        <f>'T1 ANSP'!P36+'T1 MET'!P36+'T1 NSA'!P36</f>
        <v>676414.22965941683</v>
      </c>
      <c r="Q36" s="97"/>
      <c r="R36" s="750">
        <f>'T1 ANSP'!R36+'T1 MET'!R36+'T1 NSA'!R36</f>
        <v>516797.6510086935</v>
      </c>
      <c r="S36" s="122"/>
      <c r="T36" s="564"/>
      <c r="U36" s="122"/>
      <c r="V36" s="135"/>
      <c r="W36" s="136"/>
      <c r="X36" s="74"/>
      <c r="Y36" s="561"/>
      <c r="Z36" s="561"/>
      <c r="AA36" s="561"/>
      <c r="AB36" s="561"/>
    </row>
    <row r="37" spans="1:28" s="83" customFormat="1" ht="12" customHeight="1">
      <c r="A37" s="137" t="s">
        <v>114</v>
      </c>
      <c r="B37" s="959"/>
      <c r="C37" s="971"/>
      <c r="D37" s="971"/>
      <c r="E37" s="971"/>
      <c r="F37" s="125">
        <f>'T1 ANSP'!F37+'T1 MET'!F37+'T1 NSA'!F37</f>
        <v>0</v>
      </c>
      <c r="G37" s="563">
        <f>'T1 ANSP'!G37+'T1 MET'!G37+'T1 NSA'!G37</f>
        <v>0</v>
      </c>
      <c r="H37" s="563">
        <f>'T1 ANSP'!H37+'T1 MET'!H37+'T1 NSA'!H37</f>
        <v>0</v>
      </c>
      <c r="I37" s="563">
        <f>'T1 ANSP'!I37+'T1 MET'!I37+'T1 NSA'!I37</f>
        <v>0</v>
      </c>
      <c r="J37" s="706">
        <f>'T1 ANSP'!J37+'T1 MET'!J37+'T1 NSA'!J37</f>
        <v>0</v>
      </c>
      <c r="K37" s="752">
        <f>'T1 ANSP'!K37+'T1 MET'!K37+'T1 NSA'!K37</f>
        <v>0</v>
      </c>
      <c r="L37" s="753">
        <f>'T1 ANSP'!L37+'T1 MET'!L37+'T1 NSA'!L37</f>
        <v>0</v>
      </c>
      <c r="M37" s="720"/>
      <c r="N37" s="590">
        <f>'T1 ANSP'!N37+'T1 MET'!N37+'T1 NSA'!N37</f>
        <v>0</v>
      </c>
      <c r="O37" s="590">
        <f>'T1 ANSP'!O37+'T1 MET'!O37+'T1 NSA'!O37</f>
        <v>0</v>
      </c>
      <c r="P37" s="591">
        <f>'T1 ANSP'!P37+'T1 MET'!P37+'T1 NSA'!P37</f>
        <v>0</v>
      </c>
      <c r="Q37" s="97"/>
      <c r="R37" s="752">
        <f>'T1 ANSP'!R37+'T1 MET'!R37+'T1 NSA'!R37</f>
        <v>0</v>
      </c>
      <c r="S37" s="126"/>
      <c r="T37" s="563"/>
      <c r="U37" s="126"/>
      <c r="V37" s="127"/>
      <c r="W37" s="128"/>
      <c r="X37" s="74"/>
      <c r="Y37" s="561"/>
      <c r="Z37" s="561"/>
      <c r="AA37" s="561"/>
      <c r="AB37" s="561"/>
    </row>
    <row r="38" spans="1:28" s="83" customFormat="1" ht="12" customHeight="1">
      <c r="A38" s="137" t="s">
        <v>115</v>
      </c>
      <c r="B38" s="959"/>
      <c r="C38" s="971"/>
      <c r="D38" s="971"/>
      <c r="E38" s="971"/>
      <c r="F38" s="125">
        <f>'T1 ANSP'!F38+'T1 MET'!F38+'T1 NSA'!F38</f>
        <v>0</v>
      </c>
      <c r="G38" s="563">
        <f>'T1 ANSP'!G38+'T1 MET'!G38+'T1 NSA'!G38</f>
        <v>0</v>
      </c>
      <c r="H38" s="563">
        <f>'T1 ANSP'!H38+'T1 MET'!H38+'T1 NSA'!H38</f>
        <v>0</v>
      </c>
      <c r="I38" s="563">
        <f>'T1 ANSP'!I38+'T1 MET'!I38+'T1 NSA'!I38</f>
        <v>0</v>
      </c>
      <c r="J38" s="706">
        <f>'T1 ANSP'!J38+'T1 MET'!J38+'T1 NSA'!J38</f>
        <v>0</v>
      </c>
      <c r="K38" s="752">
        <f>'T1 ANSP'!K38+'T1 MET'!K38+'T1 NSA'!K38</f>
        <v>0</v>
      </c>
      <c r="L38" s="753">
        <f>'T1 ANSP'!L38+'T1 MET'!L38+'T1 NSA'!L38</f>
        <v>0</v>
      </c>
      <c r="M38" s="720"/>
      <c r="N38" s="590">
        <f>'T1 ANSP'!N38+'T1 MET'!N38+'T1 NSA'!N38</f>
        <v>0</v>
      </c>
      <c r="O38" s="590">
        <f>'T1 ANSP'!O38+'T1 MET'!O38+'T1 NSA'!O38</f>
        <v>0</v>
      </c>
      <c r="P38" s="591">
        <f>'T1 ANSP'!P38+'T1 MET'!P38+'T1 NSA'!P38</f>
        <v>0</v>
      </c>
      <c r="Q38" s="97"/>
      <c r="R38" s="752">
        <f>'T1 ANSP'!R38+'T1 MET'!R38+'T1 NSA'!R38</f>
        <v>0</v>
      </c>
      <c r="S38" s="126"/>
      <c r="T38" s="563"/>
      <c r="U38" s="127"/>
      <c r="V38" s="127"/>
      <c r="W38" s="128"/>
      <c r="X38" s="74"/>
      <c r="Y38" s="561"/>
      <c r="Z38" s="561"/>
      <c r="AA38" s="561"/>
      <c r="AB38" s="561"/>
    </row>
    <row r="39" spans="1:28" s="83" customFormat="1" ht="12" customHeight="1">
      <c r="A39" s="138" t="s">
        <v>116</v>
      </c>
      <c r="B39" s="959"/>
      <c r="C39" s="971"/>
      <c r="D39" s="971"/>
      <c r="E39" s="971"/>
      <c r="F39" s="175">
        <f>'T1 ANSP'!F39+'T1 MET'!F39+'T1 NSA'!F39</f>
        <v>195167.51066710489</v>
      </c>
      <c r="G39" s="176">
        <f>'T1 ANSP'!G39+'T1 MET'!G39+'T1 NSA'!G39</f>
        <v>435470</v>
      </c>
      <c r="H39" s="176">
        <f>'T1 ANSP'!H39+'T1 MET'!H39+'T1 NSA'!H39</f>
        <v>485445.01315786899</v>
      </c>
      <c r="I39" s="176">
        <f>'T1 ANSP'!I39+'T1 MET'!I39+'T1 NSA'!I39</f>
        <v>483167.89473684219</v>
      </c>
      <c r="J39" s="220">
        <f>'T1 ANSP'!J39+'T1 MET'!J39+'T1 NSA'!J39</f>
        <v>355265.76748653728</v>
      </c>
      <c r="K39" s="754">
        <f>'T1 ANSP'!K39+'T1 MET'!K39+'T1 NSA'!K39</f>
        <v>516797.6510086935</v>
      </c>
      <c r="L39" s="755">
        <f>'T1 ANSP'!L39+'T1 MET'!L39+'T1 NSA'!L39</f>
        <v>531951.31314092013</v>
      </c>
      <c r="M39" s="721"/>
      <c r="N39" s="607">
        <f>'T1 ANSP'!N39+'T1 MET'!N39+'T1 NSA'!N39</f>
        <v>535908.46207442635</v>
      </c>
      <c r="O39" s="607">
        <f>'T1 ANSP'!O39+'T1 MET'!O39+'T1 NSA'!O39</f>
        <v>597361.45062323031</v>
      </c>
      <c r="P39" s="608">
        <f>'T1 ANSP'!P39+'T1 MET'!P39+'T1 NSA'!P39</f>
        <v>676414.22965941683</v>
      </c>
      <c r="Q39" s="97"/>
      <c r="R39" s="754">
        <f>'T1 ANSP'!R39+'T1 MET'!R39+'T1 NSA'!R39</f>
        <v>516797.6510086935</v>
      </c>
      <c r="S39" s="139"/>
      <c r="T39" s="139"/>
      <c r="U39" s="140"/>
      <c r="V39" s="140"/>
      <c r="W39" s="141"/>
      <c r="X39" s="74"/>
      <c r="Y39" s="561"/>
      <c r="Z39" s="561"/>
      <c r="AA39" s="561"/>
      <c r="AB39" s="561"/>
    </row>
    <row r="40" spans="1:28" ht="12" customHeight="1">
      <c r="A40" s="91" t="s">
        <v>117</v>
      </c>
      <c r="B40" s="91"/>
      <c r="C40" s="969"/>
      <c r="D40" s="969"/>
      <c r="E40" s="969"/>
      <c r="F40" s="91"/>
      <c r="G40" s="91"/>
      <c r="H40" s="91"/>
      <c r="I40" s="91"/>
      <c r="J40" s="91"/>
      <c r="K40" s="756"/>
      <c r="L40" s="756"/>
      <c r="M40" s="142"/>
      <c r="N40" s="595"/>
      <c r="O40" s="595"/>
      <c r="P40" s="595"/>
      <c r="Q40" s="97"/>
      <c r="R40" s="756"/>
      <c r="S40" s="142"/>
      <c r="T40" s="142"/>
      <c r="U40" s="143"/>
      <c r="V40" s="143"/>
      <c r="W40" s="143"/>
      <c r="Y40" s="561"/>
      <c r="Z40" s="561"/>
      <c r="AA40" s="561"/>
      <c r="AB40" s="561"/>
    </row>
    <row r="41" spans="1:28" s="83" customFormat="1" ht="12" customHeight="1">
      <c r="A41" s="144" t="s">
        <v>118</v>
      </c>
      <c r="B41" s="959"/>
      <c r="C41" s="975"/>
      <c r="D41" s="975"/>
      <c r="E41" s="975"/>
      <c r="F41" s="994"/>
      <c r="G41" s="437"/>
      <c r="H41" s="437"/>
      <c r="I41" s="437"/>
      <c r="J41" s="1032"/>
      <c r="K41" s="823"/>
      <c r="L41" s="823"/>
      <c r="M41" s="823"/>
      <c r="N41" s="823"/>
      <c r="O41" s="823"/>
      <c r="P41" s="823"/>
      <c r="Q41" s="97"/>
      <c r="R41" s="823"/>
      <c r="S41" s="437"/>
      <c r="T41" s="437"/>
      <c r="U41" s="438"/>
      <c r="V41" s="438"/>
      <c r="W41" s="439"/>
      <c r="X41" s="74"/>
    </row>
    <row r="42" spans="1:28" s="83" customFormat="1" ht="12" customHeight="1">
      <c r="A42" s="148" t="s">
        <v>119</v>
      </c>
      <c r="B42" s="959"/>
      <c r="C42" s="975"/>
      <c r="D42" s="975"/>
      <c r="E42" s="975"/>
      <c r="F42" s="1033"/>
      <c r="G42" s="440"/>
      <c r="H42" s="440"/>
      <c r="I42" s="440"/>
      <c r="J42" s="1034"/>
      <c r="K42" s="824"/>
      <c r="L42" s="824"/>
      <c r="M42" s="824"/>
      <c r="N42" s="824"/>
      <c r="O42" s="824"/>
      <c r="P42" s="824"/>
      <c r="Q42" s="97"/>
      <c r="R42" s="824"/>
      <c r="S42" s="440"/>
      <c r="T42" s="440"/>
      <c r="U42" s="441"/>
      <c r="V42" s="441"/>
      <c r="W42" s="442"/>
      <c r="X42" s="74"/>
    </row>
    <row r="43" spans="1:28" s="83" customFormat="1" ht="12" customHeight="1">
      <c r="A43" s="148" t="s">
        <v>120</v>
      </c>
      <c r="B43" s="959"/>
      <c r="C43" s="975"/>
      <c r="D43" s="975"/>
      <c r="E43" s="975"/>
      <c r="F43" s="1033"/>
      <c r="G43" s="440"/>
      <c r="H43" s="440"/>
      <c r="I43" s="440"/>
      <c r="J43" s="1034"/>
      <c r="K43" s="824"/>
      <c r="L43" s="824"/>
      <c r="M43" s="824"/>
      <c r="N43" s="824"/>
      <c r="O43" s="824"/>
      <c r="P43" s="824"/>
      <c r="Q43" s="97"/>
      <c r="R43" s="824"/>
      <c r="S43" s="440"/>
      <c r="T43" s="440"/>
      <c r="U43" s="441"/>
      <c r="V43" s="441"/>
      <c r="W43" s="442"/>
      <c r="X43" s="74"/>
    </row>
    <row r="44" spans="1:28" s="83" customFormat="1" ht="12" customHeight="1">
      <c r="A44" s="153" t="s">
        <v>121</v>
      </c>
      <c r="B44" s="959"/>
      <c r="C44" s="975"/>
      <c r="D44" s="975"/>
      <c r="E44" s="975"/>
      <c r="F44" s="444"/>
      <c r="G44" s="445"/>
      <c r="H44" s="445"/>
      <c r="I44" s="445"/>
      <c r="J44" s="1022"/>
      <c r="K44" s="826"/>
      <c r="L44" s="826"/>
      <c r="M44" s="826"/>
      <c r="N44" s="826"/>
      <c r="O44" s="826"/>
      <c r="P44" s="826"/>
      <c r="Q44" s="97"/>
      <c r="R44" s="826"/>
      <c r="S44" s="445"/>
      <c r="T44" s="445"/>
      <c r="U44" s="446"/>
      <c r="V44" s="447"/>
      <c r="W44" s="448"/>
      <c r="X44" s="74"/>
    </row>
    <row r="45" spans="1:28" s="83" customFormat="1" ht="5.65" customHeight="1">
      <c r="A45" s="93"/>
      <c r="B45" s="79"/>
      <c r="C45" s="963"/>
      <c r="D45" s="963"/>
      <c r="E45" s="963"/>
      <c r="F45" s="79"/>
      <c r="G45" s="79"/>
      <c r="H45" s="79"/>
      <c r="I45" s="79"/>
      <c r="J45" s="79"/>
      <c r="K45" s="763"/>
      <c r="L45" s="763"/>
      <c r="M45" s="159"/>
      <c r="N45" s="601"/>
      <c r="O45" s="601"/>
      <c r="P45" s="601"/>
      <c r="Q45" s="97"/>
      <c r="R45" s="763"/>
      <c r="S45" s="159"/>
      <c r="T45" s="159"/>
      <c r="U45" s="160"/>
      <c r="V45" s="161"/>
      <c r="W45" s="161"/>
      <c r="X45" s="74"/>
    </row>
    <row r="46" spans="1:28" s="451" customFormat="1" ht="12" customHeight="1">
      <c r="A46" s="162" t="s">
        <v>122</v>
      </c>
      <c r="B46" s="79"/>
      <c r="C46" s="963"/>
      <c r="D46" s="963"/>
      <c r="E46" s="963"/>
      <c r="F46" s="79"/>
      <c r="G46" s="79"/>
      <c r="H46" s="79"/>
      <c r="I46" s="79"/>
      <c r="J46" s="79"/>
      <c r="K46" s="764"/>
      <c r="L46" s="764"/>
      <c r="M46" s="118"/>
      <c r="N46" s="602"/>
      <c r="O46" s="602"/>
      <c r="P46" s="602"/>
      <c r="Q46" s="97"/>
      <c r="R46" s="764"/>
      <c r="S46" s="118"/>
      <c r="T46" s="118"/>
      <c r="U46" s="449"/>
      <c r="V46" s="449"/>
      <c r="W46" s="449"/>
      <c r="X46" s="450"/>
    </row>
    <row r="47" spans="1:28" s="450" customFormat="1" ht="12" customHeight="1">
      <c r="A47" s="163" t="s">
        <v>123</v>
      </c>
      <c r="B47" s="960"/>
      <c r="C47" s="977"/>
      <c r="D47" s="977"/>
      <c r="E47" s="977"/>
      <c r="F47" s="999">
        <f>'T1 ANSP'!F47+'T1 MET'!F47+'T1 NSA'!F47</f>
        <v>0</v>
      </c>
      <c r="G47" s="165">
        <f>'T1 ANSP'!G47+'T1 MET'!G47+'T1 NSA'!G47</f>
        <v>0</v>
      </c>
      <c r="H47" s="165">
        <f>'T1 ANSP'!H47+'T1 MET'!H47+'T1 NSA'!H47</f>
        <v>0</v>
      </c>
      <c r="I47" s="165">
        <f>'T1 ANSP'!I47+'T1 MET'!I47+'T1 NSA'!I47</f>
        <v>0</v>
      </c>
      <c r="J47" s="1000">
        <f>'T1 ANSP'!J47+'T1 MET'!J47+'T1 NSA'!J47</f>
        <v>0</v>
      </c>
      <c r="K47" s="828">
        <f>'T1 ANSP'!K47+'T1 MET'!K47+'T1 NSA'!K47</f>
        <v>0</v>
      </c>
      <c r="L47" s="829">
        <f>'T1 ANSP'!L47+'T1 MET'!L47+'T1 NSA'!L47</f>
        <v>0</v>
      </c>
      <c r="M47" s="667">
        <f>'T1 ANSP'!M47+'T1 MET'!M47+'T1 NSA'!M47</f>
        <v>0</v>
      </c>
      <c r="N47" s="667">
        <f>'T1 ANSP'!N47+'T1 MET'!N47+'T1 NSA'!N47</f>
        <v>0</v>
      </c>
      <c r="O47" s="667">
        <f>'T1 ANSP'!O47+'T1 MET'!O47+'T1 NSA'!O47</f>
        <v>0</v>
      </c>
      <c r="P47" s="668">
        <f>'T1 ANSP'!P47+'T1 MET'!P47+'T1 NSA'!P47</f>
        <v>0</v>
      </c>
      <c r="Q47" s="97"/>
      <c r="R47" s="828">
        <f>'T1 ANSP'!R47+'T1 MET'!R47+'T1 NSA'!R47</f>
        <v>0</v>
      </c>
      <c r="S47" s="165"/>
      <c r="T47" s="165"/>
      <c r="U47" s="165"/>
      <c r="V47" s="452"/>
      <c r="W47" s="453"/>
      <c r="Y47" s="561"/>
      <c r="Z47" s="561"/>
      <c r="AA47" s="561"/>
      <c r="AB47" s="561"/>
    </row>
    <row r="48" spans="1:28" s="83" customFormat="1" ht="5.65" customHeight="1">
      <c r="A48" s="93"/>
      <c r="B48" s="79"/>
      <c r="C48" s="971"/>
      <c r="D48" s="971"/>
      <c r="E48" s="971"/>
      <c r="F48" s="107"/>
      <c r="G48" s="107"/>
      <c r="H48" s="107"/>
      <c r="I48" s="107"/>
      <c r="J48" s="107"/>
      <c r="K48" s="830"/>
      <c r="L48" s="830"/>
      <c r="M48" s="159"/>
      <c r="N48" s="603"/>
      <c r="O48" s="603"/>
      <c r="P48" s="603"/>
      <c r="Q48" s="97"/>
      <c r="R48" s="830"/>
      <c r="S48" s="454"/>
      <c r="T48" s="454"/>
      <c r="U48" s="455"/>
      <c r="V48" s="456"/>
      <c r="W48" s="456"/>
      <c r="X48" s="74"/>
    </row>
    <row r="49" spans="1:28" s="459" customFormat="1" ht="12" customHeight="1">
      <c r="A49" s="166" t="s">
        <v>124</v>
      </c>
      <c r="B49" s="75"/>
      <c r="C49" s="971"/>
      <c r="D49" s="971"/>
      <c r="E49" s="971"/>
      <c r="F49" s="457"/>
      <c r="G49" s="457"/>
      <c r="H49" s="457"/>
      <c r="I49" s="457"/>
      <c r="J49" s="457"/>
      <c r="K49" s="831"/>
      <c r="L49" s="831"/>
      <c r="M49" s="167"/>
      <c r="N49" s="604"/>
      <c r="O49" s="604"/>
      <c r="P49" s="604"/>
      <c r="Q49" s="97"/>
      <c r="R49" s="831"/>
      <c r="S49" s="457"/>
      <c r="T49" s="457"/>
      <c r="U49" s="458"/>
      <c r="V49" s="458"/>
      <c r="W49" s="458"/>
    </row>
    <row r="50" spans="1:28" s="83" customFormat="1" ht="12" customHeight="1">
      <c r="A50" s="134" t="s">
        <v>125</v>
      </c>
      <c r="B50" s="959"/>
      <c r="C50" s="971"/>
      <c r="D50" s="971"/>
      <c r="E50" s="971"/>
      <c r="F50" s="523"/>
      <c r="G50" s="504"/>
      <c r="H50" s="504"/>
      <c r="I50" s="504"/>
      <c r="J50" s="956"/>
      <c r="K50" s="1428">
        <f>'T1 ANSP'!K50+'T1 MET'!K50+'T1 NSA'!K50</f>
        <v>39813.826957656034</v>
      </c>
      <c r="L50" s="751">
        <f>'T1 ANSP'!L50+'T1 MET'!L50+'T1 NSA'!L50</f>
        <v>37238.779626385847</v>
      </c>
      <c r="M50" s="588">
        <f>'T1 ANSP'!M50+'T1 MET'!M50+'T1 NSA'!M50</f>
        <v>77052.606584041874</v>
      </c>
      <c r="N50" s="588">
        <f>'T1 ANSP'!N50+'T1 MET'!N50+'T1 NSA'!N50</f>
        <v>35699.479020446444</v>
      </c>
      <c r="O50" s="588">
        <f>'T1 ANSP'!O50+'T1 MET'!O50+'T1 NSA'!O50</f>
        <v>38376.535426039904</v>
      </c>
      <c r="P50" s="589">
        <f>'T1 ANSP'!P50+'T1 MET'!P50+'T1 NSA'!P50</f>
        <v>38244.631497186485</v>
      </c>
      <c r="Q50" s="97"/>
      <c r="R50" s="750">
        <f>'T1 ANSP'!R50+'T1 MET'!R50+'T1 NSA'!R50</f>
        <v>39813.826957656034</v>
      </c>
      <c r="S50" s="564"/>
      <c r="T50" s="564"/>
      <c r="U50" s="564"/>
      <c r="V50" s="564"/>
      <c r="W50" s="460"/>
      <c r="X50" s="74"/>
      <c r="Y50" s="561"/>
      <c r="Z50" s="561"/>
      <c r="AA50" s="561"/>
      <c r="AB50" s="561"/>
    </row>
    <row r="51" spans="1:28" s="83" customFormat="1" ht="12" customHeight="1">
      <c r="A51" s="137" t="s">
        <v>126</v>
      </c>
      <c r="B51" s="959"/>
      <c r="C51" s="971"/>
      <c r="D51" s="971"/>
      <c r="E51" s="971"/>
      <c r="F51" s="480"/>
      <c r="G51" s="481"/>
      <c r="H51" s="481"/>
      <c r="I51" s="481"/>
      <c r="J51" s="708"/>
      <c r="K51" s="1429">
        <f>'T1 ANSP'!K51+'T1 MET'!K51+'T1 NSA'!K51</f>
        <v>30232.662584008573</v>
      </c>
      <c r="L51" s="753">
        <f>'T1 ANSP'!L51+'T1 MET'!L51+'T1 NSA'!L51</f>
        <v>31119.151818743831</v>
      </c>
      <c r="M51" s="590">
        <f>'T1 ANSP'!M51+'T1 MET'!M51+'T1 NSA'!M51</f>
        <v>61351.814402752403</v>
      </c>
      <c r="N51" s="590">
        <f>'T1 ANSP'!N51+'T1 MET'!N51+'T1 NSA'!N51</f>
        <v>31350.645031353946</v>
      </c>
      <c r="O51" s="590">
        <f>'T1 ANSP'!O51+'T1 MET'!O51+'T1 NSA'!O51</f>
        <v>34945.644861458975</v>
      </c>
      <c r="P51" s="591">
        <f>'T1 ANSP'!P51+'T1 MET'!P51+'T1 NSA'!P51</f>
        <v>39570.232435075886</v>
      </c>
      <c r="Q51" s="97"/>
      <c r="R51" s="752">
        <f>'T1 ANSP'!R51+'T1 MET'!R51+'T1 NSA'!R51</f>
        <v>30232.662584008573</v>
      </c>
      <c r="S51" s="563"/>
      <c r="T51" s="563"/>
      <c r="U51" s="563"/>
      <c r="V51" s="563"/>
      <c r="W51" s="461"/>
      <c r="X51" s="74"/>
      <c r="Y51" s="561"/>
      <c r="Z51" s="561"/>
      <c r="AA51" s="561"/>
      <c r="AB51" s="561"/>
    </row>
    <row r="52" spans="1:28" s="83" customFormat="1" ht="12" customHeight="1">
      <c r="A52" s="153" t="s">
        <v>127</v>
      </c>
      <c r="B52" s="959"/>
      <c r="C52" s="971"/>
      <c r="D52" s="971"/>
      <c r="E52" s="971"/>
      <c r="F52" s="1007"/>
      <c r="G52" s="1008"/>
      <c r="H52" s="1008"/>
      <c r="I52" s="1008"/>
      <c r="J52" s="1023"/>
      <c r="K52" s="832">
        <f>'T1 ANSP'!K52+'T1 MET'!K52+'T1 NSA'!K52</f>
        <v>0</v>
      </c>
      <c r="L52" s="773">
        <f>'T1 ANSP'!L52+'T1 MET'!L52+'T1 NSA'!L52</f>
        <v>0</v>
      </c>
      <c r="M52" s="593">
        <f>'T1 ANSP'!M52+'T1 MET'!M52+'T1 NSA'!M52</f>
        <v>0</v>
      </c>
      <c r="N52" s="593">
        <f>'T1 ANSP'!N52+'T1 MET'!N52+'T1 NSA'!N52</f>
        <v>0</v>
      </c>
      <c r="O52" s="593">
        <f>'T1 ANSP'!O52+'T1 MET'!O52+'T1 NSA'!O52</f>
        <v>0</v>
      </c>
      <c r="P52" s="594">
        <f>'T1 ANSP'!P52+'T1 MET'!P52+'T1 NSA'!P52</f>
        <v>0</v>
      </c>
      <c r="Q52" s="97"/>
      <c r="R52" s="772">
        <f>'T1 ANSP'!R52+'T1 MET'!R52+'T1 NSA'!R52</f>
        <v>0</v>
      </c>
      <c r="S52" s="139"/>
      <c r="T52" s="139"/>
      <c r="U52" s="139"/>
      <c r="V52" s="139"/>
      <c r="W52" s="168"/>
      <c r="X52" s="74"/>
      <c r="Y52" s="561"/>
      <c r="Z52" s="561"/>
      <c r="AA52" s="561"/>
      <c r="AB52" s="561"/>
    </row>
    <row r="53" spans="1:28" s="83" customFormat="1" ht="5.65" customHeight="1">
      <c r="A53" s="93"/>
      <c r="B53" s="79"/>
      <c r="C53" s="963"/>
      <c r="D53" s="963"/>
      <c r="E53" s="963"/>
      <c r="F53" s="79"/>
      <c r="G53" s="79"/>
      <c r="H53" s="79"/>
      <c r="I53" s="79"/>
      <c r="J53" s="79"/>
      <c r="K53" s="763"/>
      <c r="L53" s="763"/>
      <c r="M53" s="159"/>
      <c r="N53" s="601"/>
      <c r="O53" s="601"/>
      <c r="P53" s="601"/>
      <c r="Q53" s="97"/>
      <c r="R53" s="763"/>
      <c r="S53" s="159"/>
      <c r="T53" s="159"/>
      <c r="U53" s="160"/>
      <c r="V53" s="161"/>
      <c r="W53" s="161"/>
      <c r="X53" s="74"/>
    </row>
    <row r="54" spans="1:28" s="459" customFormat="1" ht="12" customHeight="1">
      <c r="A54" s="166" t="s">
        <v>128</v>
      </c>
      <c r="B54" s="75"/>
      <c r="C54" s="963"/>
      <c r="D54" s="963"/>
      <c r="E54" s="963"/>
      <c r="F54" s="75"/>
      <c r="G54" s="75"/>
      <c r="H54" s="75"/>
      <c r="I54" s="75"/>
      <c r="J54" s="75"/>
      <c r="K54" s="765"/>
      <c r="L54" s="765"/>
      <c r="M54" s="167"/>
      <c r="N54" s="605"/>
      <c r="O54" s="605"/>
      <c r="P54" s="605"/>
      <c r="Q54" s="97"/>
      <c r="R54" s="765"/>
      <c r="S54" s="167"/>
      <c r="T54" s="167"/>
      <c r="U54" s="462"/>
      <c r="V54" s="462"/>
      <c r="W54" s="462"/>
    </row>
    <row r="55" spans="1:28" s="463" customFormat="1" ht="12" customHeight="1">
      <c r="A55" s="169" t="s">
        <v>129</v>
      </c>
      <c r="B55" s="960"/>
      <c r="C55" s="976"/>
      <c r="D55" s="976"/>
      <c r="E55" s="976"/>
      <c r="F55" s="1001"/>
      <c r="G55" s="509"/>
      <c r="H55" s="509"/>
      <c r="I55" s="509"/>
      <c r="J55" s="1029"/>
      <c r="K55" s="1019"/>
      <c r="L55" s="1020"/>
      <c r="M55" s="509"/>
      <c r="N55" s="1021"/>
      <c r="O55" s="1021"/>
      <c r="P55" s="1018"/>
      <c r="Q55" s="97"/>
      <c r="R55" s="1019"/>
      <c r="S55" s="509"/>
      <c r="T55" s="509"/>
      <c r="U55" s="511"/>
      <c r="V55" s="511"/>
      <c r="W55" s="512"/>
      <c r="Y55" s="561"/>
      <c r="Z55" s="561"/>
      <c r="AA55" s="561"/>
      <c r="AB55" s="561"/>
    </row>
    <row r="56" spans="1:28" s="83" customFormat="1" ht="12" customHeight="1">
      <c r="A56" s="137" t="s">
        <v>130</v>
      </c>
      <c r="B56" s="959"/>
      <c r="C56" s="971"/>
      <c r="D56" s="971"/>
      <c r="E56" s="971"/>
      <c r="F56" s="480"/>
      <c r="G56" s="481"/>
      <c r="H56" s="481"/>
      <c r="I56" s="481"/>
      <c r="J56" s="708"/>
      <c r="K56" s="745"/>
      <c r="L56" s="746"/>
      <c r="M56" s="481"/>
      <c r="N56" s="653"/>
      <c r="O56" s="653"/>
      <c r="P56" s="578"/>
      <c r="Q56" s="97"/>
      <c r="R56" s="745"/>
      <c r="S56" s="481"/>
      <c r="T56" s="481"/>
      <c r="U56" s="513"/>
      <c r="V56" s="513"/>
      <c r="W56" s="514"/>
      <c r="X56" s="74"/>
      <c r="Y56" s="561"/>
      <c r="Z56" s="561"/>
      <c r="AA56" s="561"/>
      <c r="AB56" s="561"/>
    </row>
    <row r="57" spans="1:28" s="83" customFormat="1" ht="12" customHeight="1">
      <c r="A57" s="153" t="s">
        <v>131</v>
      </c>
      <c r="B57" s="959"/>
      <c r="C57" s="971"/>
      <c r="D57" s="971"/>
      <c r="E57" s="971"/>
      <c r="F57" s="1007"/>
      <c r="G57" s="1008"/>
      <c r="H57" s="1008"/>
      <c r="I57" s="1008"/>
      <c r="J57" s="1023"/>
      <c r="K57" s="1014"/>
      <c r="L57" s="1015"/>
      <c r="M57" s="932"/>
      <c r="N57" s="932"/>
      <c r="O57" s="932"/>
      <c r="P57" s="1009"/>
      <c r="Q57" s="97"/>
      <c r="R57" s="1014"/>
      <c r="S57" s="1008"/>
      <c r="T57" s="1008"/>
      <c r="U57" s="1008"/>
      <c r="V57" s="447"/>
      <c r="W57" s="448"/>
      <c r="X57" s="74"/>
      <c r="Y57" s="561"/>
      <c r="Z57" s="561"/>
      <c r="AA57" s="561"/>
      <c r="AB57" s="561"/>
    </row>
    <row r="58" spans="1:28" ht="12" customHeight="1">
      <c r="A58" s="170"/>
      <c r="B58" s="171"/>
      <c r="C58" s="992"/>
      <c r="D58" s="992"/>
      <c r="E58" s="992"/>
      <c r="F58" s="464"/>
      <c r="G58" s="464"/>
      <c r="H58" s="464"/>
      <c r="I58" s="464"/>
      <c r="J58" s="464"/>
      <c r="K58" s="833"/>
      <c r="L58" s="833"/>
      <c r="M58" s="172"/>
      <c r="N58" s="606"/>
      <c r="O58" s="606"/>
      <c r="P58" s="606"/>
      <c r="Q58" s="97"/>
      <c r="R58" s="833"/>
      <c r="S58" s="465"/>
      <c r="T58" s="465"/>
      <c r="U58" s="466"/>
      <c r="V58" s="467"/>
      <c r="W58" s="467"/>
    </row>
    <row r="59" spans="1:28" ht="15.6" customHeight="1">
      <c r="A59" s="91" t="s">
        <v>132</v>
      </c>
      <c r="B59" s="91"/>
      <c r="C59" s="993"/>
      <c r="D59" s="993"/>
      <c r="E59" s="993"/>
      <c r="F59" s="216"/>
      <c r="G59" s="216"/>
      <c r="H59" s="216"/>
      <c r="I59" s="216"/>
      <c r="J59" s="216"/>
      <c r="K59" s="834"/>
      <c r="L59" s="834"/>
      <c r="M59" s="93"/>
      <c r="N59" s="587"/>
      <c r="O59" s="587"/>
      <c r="P59" s="587"/>
      <c r="Q59" s="97"/>
      <c r="R59" s="834"/>
      <c r="S59" s="92"/>
      <c r="T59" s="92"/>
      <c r="U59" s="94"/>
      <c r="V59" s="94"/>
      <c r="W59" s="94"/>
    </row>
    <row r="60" spans="1:28" ht="12" customHeight="1">
      <c r="A60" s="173" t="s">
        <v>133</v>
      </c>
      <c r="B60" s="959"/>
      <c r="C60" s="971"/>
      <c r="D60" s="971"/>
      <c r="E60" s="971"/>
      <c r="F60" s="121">
        <f>'T1 ANSP'!F60+'T1 MET'!F60+'T1 NSA'!F60</f>
        <v>1139.3487320324145</v>
      </c>
      <c r="G60" s="564">
        <f>'T1 ANSP'!G60+'T1 MET'!G60+'T1 NSA'!G60</f>
        <v>1156.15443</v>
      </c>
      <c r="H60" s="564">
        <f>'T1 ANSP'!H60+'T1 MET'!H60+'T1 NSA'!H60</f>
        <v>1153.415744786018</v>
      </c>
      <c r="I60" s="564">
        <f>'T1 ANSP'!I60+'T1 MET'!I60+'T1 NSA'!I60</f>
        <v>1198.9051102881715</v>
      </c>
      <c r="J60" s="707">
        <f>'T1 ANSP'!J60+'T1 MET'!J60+'T1 NSA'!J60</f>
        <v>1172.4411813703136</v>
      </c>
      <c r="K60" s="750">
        <f>'T1 ANSP'!K60+'T1 MET'!K60+'T1 NSA'!K60</f>
        <v>1026.5140117952483</v>
      </c>
      <c r="L60" s="751">
        <f>'T1 ANSP'!L60+'T1 MET'!L60+'T1 NSA'!L60</f>
        <v>1030.4867214241694</v>
      </c>
      <c r="M60" s="588">
        <f>'T1 ANSP'!M60+'T1 MET'!M60+'T1 NSA'!M60</f>
        <v>2057.0007332194177</v>
      </c>
      <c r="N60" s="588">
        <f>'T1 ANSP'!N60+'T1 MET'!N60+'T1 NSA'!N60</f>
        <v>1025.6728303288053</v>
      </c>
      <c r="O60" s="588">
        <f>'T1 ANSP'!O60+'T1 MET'!O60+'T1 NSA'!O60</f>
        <v>1079.923352094967</v>
      </c>
      <c r="P60" s="589">
        <f>'T1 ANSP'!P60+'T1 MET'!P60+'T1 NSA'!P60</f>
        <v>1119.4868179612342</v>
      </c>
      <c r="Q60" s="97"/>
      <c r="R60" s="750">
        <f>'T1 ANSP'!R60+'T1 MET'!R60+'T1 NSA'!R60</f>
        <v>1026.5140117952483</v>
      </c>
      <c r="S60" s="122"/>
      <c r="T60" s="564"/>
      <c r="U60" s="100"/>
      <c r="V60" s="123"/>
      <c r="W60" s="124"/>
      <c r="Y60" s="561"/>
      <c r="Z60" s="561"/>
      <c r="AA60" s="561"/>
      <c r="AB60" s="561"/>
    </row>
    <row r="61" spans="1:28" s="112" customFormat="1" ht="12" customHeight="1">
      <c r="A61" s="174" t="s">
        <v>134</v>
      </c>
      <c r="B61" s="961"/>
      <c r="C61" s="972"/>
      <c r="D61" s="972"/>
      <c r="E61" s="972"/>
      <c r="F61" s="175">
        <f>'T1 ANSP'!F61+'T1 MET'!F61+'T1 NSA'!F61</f>
        <v>454600.14408093336</v>
      </c>
      <c r="G61" s="176">
        <f>'T1 ANSP'!G61+'T1 MET'!G61+'T1 NSA'!G61</f>
        <v>461305.61757000006</v>
      </c>
      <c r="H61" s="176">
        <f>'T1 ANSP'!H61+'T1 MET'!H61+'T1 NSA'!H61</f>
        <v>460212.88216962112</v>
      </c>
      <c r="I61" s="176">
        <f>'T1 ANSP'!I61+'T1 MET'!I61+'T1 NSA'!I61</f>
        <v>478363.13900498039</v>
      </c>
      <c r="J61" s="220">
        <f>'T1 ANSP'!J61+'T1 MET'!J61+'T1 NSA'!J61</f>
        <v>467804.03136675508</v>
      </c>
      <c r="K61" s="754">
        <f>'T1 ANSP'!K61+'T1 MET'!K61+'T1 NSA'!K61</f>
        <v>409579.09070630401</v>
      </c>
      <c r="L61" s="755">
        <f>'T1 ANSP'!L61+'T1 MET'!L61+'T1 NSA'!L61</f>
        <v>411164.20184824354</v>
      </c>
      <c r="M61" s="607">
        <f>'T1 ANSP'!M61+'T1 MET'!M61+'T1 NSA'!M61</f>
        <v>820743.29255454754</v>
      </c>
      <c r="N61" s="607">
        <f>'T1 ANSP'!N61+'T1 MET'!N61+'T1 NSA'!N61</f>
        <v>409243.45930119324</v>
      </c>
      <c r="O61" s="607">
        <f>'T1 ANSP'!O61+'T1 MET'!O61+'T1 NSA'!O61</f>
        <v>430889.41748589167</v>
      </c>
      <c r="P61" s="608">
        <f>'T1 ANSP'!P61+'T1 MET'!P61+'T1 NSA'!P61</f>
        <v>446675.24036653247</v>
      </c>
      <c r="Q61" s="97"/>
      <c r="R61" s="754">
        <f>'T1 ANSP'!R61+'T1 MET'!R61+'T1 NSA'!R61</f>
        <v>409579.09070630401</v>
      </c>
      <c r="S61" s="176"/>
      <c r="T61" s="176"/>
      <c r="U61" s="468"/>
      <c r="V61" s="177"/>
      <c r="W61" s="178"/>
      <c r="Y61" s="561"/>
      <c r="Z61" s="561"/>
      <c r="AA61" s="561"/>
      <c r="AB61" s="561"/>
    </row>
    <row r="62" spans="1:28" s="179" customFormat="1" ht="12" customHeight="1">
      <c r="A62" s="93"/>
      <c r="B62" s="79"/>
      <c r="C62" s="963"/>
      <c r="D62" s="963"/>
      <c r="E62" s="963"/>
      <c r="F62" s="79"/>
      <c r="G62" s="79"/>
      <c r="H62" s="79"/>
      <c r="I62" s="79"/>
      <c r="J62" s="79"/>
      <c r="K62" s="835"/>
      <c r="L62" s="835"/>
      <c r="M62" s="217"/>
      <c r="N62" s="600"/>
      <c r="O62" s="600"/>
      <c r="P62" s="600"/>
      <c r="Q62" s="97"/>
      <c r="R62" s="835"/>
      <c r="S62" s="217"/>
      <c r="T62" s="217"/>
      <c r="U62" s="218"/>
      <c r="V62" s="218"/>
      <c r="W62" s="218"/>
      <c r="X62" s="74"/>
    </row>
    <row r="63" spans="1:28" ht="15.6" customHeight="1">
      <c r="A63" s="91" t="s">
        <v>135</v>
      </c>
      <c r="B63" s="91"/>
      <c r="C63" s="969"/>
      <c r="D63" s="969"/>
      <c r="E63" s="969"/>
      <c r="F63" s="91"/>
      <c r="G63" s="91"/>
      <c r="H63" s="91"/>
      <c r="I63" s="91"/>
      <c r="J63" s="91"/>
      <c r="K63" s="742"/>
      <c r="L63" s="742"/>
      <c r="M63" s="93"/>
      <c r="N63" s="586"/>
      <c r="O63" s="586"/>
      <c r="P63" s="587"/>
      <c r="Q63" s="97"/>
      <c r="R63" s="742"/>
      <c r="S63" s="93"/>
      <c r="T63" s="93"/>
      <c r="U63" s="94"/>
      <c r="V63" s="94"/>
      <c r="W63" s="94"/>
    </row>
    <row r="64" spans="1:28" s="184" customFormat="1" ht="12" customHeight="1">
      <c r="A64" s="134" t="s">
        <v>136</v>
      </c>
      <c r="B64" s="79"/>
      <c r="C64" s="979"/>
      <c r="D64" s="979"/>
      <c r="E64" s="979"/>
      <c r="F64" s="180">
        <v>0.02</v>
      </c>
      <c r="G64" s="181">
        <v>3.9E-2</v>
      </c>
      <c r="H64" s="181">
        <v>1.9E-2</v>
      </c>
      <c r="I64" s="181">
        <v>0.03</v>
      </c>
      <c r="J64" s="927">
        <v>2.3E-2</v>
      </c>
      <c r="K64" s="836">
        <v>1.2E-2</v>
      </c>
      <c r="L64" s="837">
        <v>2.1999999999999999E-2</v>
      </c>
      <c r="M64" s="533"/>
      <c r="N64" s="626">
        <v>0.02</v>
      </c>
      <c r="O64" s="626">
        <v>0.02</v>
      </c>
      <c r="P64" s="625">
        <v>0.02</v>
      </c>
      <c r="Q64" s="97"/>
      <c r="R64" s="914">
        <v>1.2E-2</v>
      </c>
      <c r="S64" s="837"/>
      <c r="T64" s="837"/>
      <c r="U64" s="626"/>
      <c r="V64" s="626"/>
      <c r="W64" s="625"/>
      <c r="X64" s="74"/>
      <c r="Y64" s="561"/>
      <c r="Z64" s="561"/>
      <c r="AA64" s="561"/>
      <c r="AB64" s="561"/>
    </row>
    <row r="65" spans="1:28" s="179" customFormat="1" ht="12" customHeight="1">
      <c r="A65" s="137" t="s">
        <v>137</v>
      </c>
      <c r="B65" s="79"/>
      <c r="C65" s="980"/>
      <c r="D65" s="980"/>
      <c r="E65" s="980"/>
      <c r="F65" s="185">
        <f>G65/(1+G64)</f>
        <v>94.45180643802405</v>
      </c>
      <c r="G65" s="570">
        <f>H65/(1+H64)</f>
        <v>98.135426889106981</v>
      </c>
      <c r="H65" s="570">
        <v>100</v>
      </c>
      <c r="I65" s="570">
        <f t="shared" ref="I65:J65" si="10">H65*(1+I64)</f>
        <v>103</v>
      </c>
      <c r="J65" s="928">
        <f t="shared" si="10"/>
        <v>105.36899999999999</v>
      </c>
      <c r="K65" s="809">
        <f>J65*(1+K64)</f>
        <v>106.63342799999998</v>
      </c>
      <c r="L65" s="810">
        <f t="shared" ref="L65" si="11">K65*(1+L64)</f>
        <v>108.97936341599998</v>
      </c>
      <c r="M65" s="536"/>
      <c r="N65" s="612">
        <f t="shared" ref="N65" si="12">L65*(1+N64)</f>
        <v>111.15895068431999</v>
      </c>
      <c r="O65" s="612">
        <f t="shared" ref="O65" si="13">N65*(1+O64)</f>
        <v>113.38212969800639</v>
      </c>
      <c r="P65" s="611">
        <f t="shared" ref="P65" si="14">O65*(1+P64)</f>
        <v>115.64977229196653</v>
      </c>
      <c r="Q65" s="97"/>
      <c r="R65" s="809">
        <f>J65*(1+R64)</f>
        <v>106.63342799999998</v>
      </c>
      <c r="S65" s="810"/>
      <c r="T65" s="810"/>
      <c r="U65" s="612"/>
      <c r="V65" s="612"/>
      <c r="W65" s="611"/>
      <c r="X65" s="74"/>
      <c r="Y65" s="561"/>
      <c r="Z65" s="561"/>
      <c r="AA65" s="561"/>
      <c r="AB65" s="561"/>
    </row>
    <row r="66" spans="1:28" s="179" customFormat="1" ht="12" customHeight="1">
      <c r="A66" s="188" t="s">
        <v>138</v>
      </c>
      <c r="B66" s="189"/>
      <c r="C66" s="972"/>
      <c r="D66" s="972"/>
      <c r="E66" s="972"/>
      <c r="F66" s="109">
        <f>'T1 ANSP'!F66+'T1 MET'!F66+'T1 NSA'!F66</f>
        <v>479163.03879535984</v>
      </c>
      <c r="G66" s="567">
        <f>'T1 ANSP'!G66+'T1 MET'!G66+'T1 NSA'!G66</f>
        <v>468650.11896354042</v>
      </c>
      <c r="H66" s="131">
        <f>'T1 ANSP'!H66+'T1 MET'!H66+'T1 NSA'!H66</f>
        <v>460212.88216962112</v>
      </c>
      <c r="I66" s="567">
        <f>'T1 ANSP'!I66+'T1 MET'!I66+'T1 NSA'!I66</f>
        <v>466962.17940191302</v>
      </c>
      <c r="J66" s="219">
        <f>'T1 ANSP'!J66+'T1 MET'!J66+'T1 NSA'!J66</f>
        <v>446995.43388573587</v>
      </c>
      <c r="K66" s="838">
        <f>'T1 ANSP'!K66+'T1 MET'!K66+'T1 NSA'!K66</f>
        <v>388508.80589731137</v>
      </c>
      <c r="L66" s="839">
        <f>'T1 ANSP'!L66+'T1 MET'!L66+'T1 NSA'!L66</f>
        <v>382988.06955339492</v>
      </c>
      <c r="M66" s="613">
        <f>'T1 ANSP'!M66+'T1 MET'!M66+'T1 NSA'!M66</f>
        <v>771496.87545070623</v>
      </c>
      <c r="N66" s="613">
        <f>'T1 ANSP'!N66+'T1 MET'!N66+'T1 NSA'!N66</f>
        <v>374977.85069289256</v>
      </c>
      <c r="O66" s="613">
        <f>'T1 ANSP'!O66+'T1 MET'!O66+'T1 NSA'!O66</f>
        <v>388790.35644687654</v>
      </c>
      <c r="P66" s="614">
        <f>'T1 ANSP'!P66+'T1 MET'!P66+'T1 NSA'!P66</f>
        <v>396881.89609731664</v>
      </c>
      <c r="Q66" s="97"/>
      <c r="R66" s="915">
        <f>'T1 ANSP'!R66+'T1 MET'!R66+'T1 NSA'!R66</f>
        <v>388508.80589731137</v>
      </c>
      <c r="S66" s="839"/>
      <c r="T66" s="839"/>
      <c r="U66" s="613"/>
      <c r="V66" s="613"/>
      <c r="W66" s="614"/>
      <c r="X66" s="74"/>
      <c r="Y66" s="561"/>
      <c r="Z66" s="561"/>
      <c r="AA66" s="561"/>
      <c r="AB66" s="561"/>
    </row>
    <row r="67" spans="1:28" s="179" customFormat="1" ht="12" customHeight="1">
      <c r="A67" s="192" t="s">
        <v>99</v>
      </c>
      <c r="B67" s="79"/>
      <c r="C67" s="981"/>
      <c r="D67" s="981"/>
      <c r="E67" s="981"/>
      <c r="F67" s="1002"/>
      <c r="G67" s="193">
        <f t="shared" ref="G67" si="15">G66/F66-1</f>
        <v>-2.1940172719184359E-2</v>
      </c>
      <c r="H67" s="571">
        <f>H66/G66-1</f>
        <v>-1.8003274623249799E-2</v>
      </c>
      <c r="I67" s="571">
        <f t="shared" ref="I67:K67" si="16">I66/H66-1</f>
        <v>1.4665598234610666E-2</v>
      </c>
      <c r="J67" s="929">
        <f t="shared" si="16"/>
        <v>-4.2758806594895171E-2</v>
      </c>
      <c r="K67" s="840">
        <f t="shared" si="16"/>
        <v>-0.13084390477996533</v>
      </c>
      <c r="L67" s="841">
        <f t="shared" ref="L67" si="17">L66/K66-1</f>
        <v>-1.4210067468523935E-2</v>
      </c>
      <c r="M67" s="718"/>
      <c r="N67" s="616">
        <f t="shared" ref="N67" si="18">N66/L66-1</f>
        <v>-2.0915061061414053E-2</v>
      </c>
      <c r="O67" s="616">
        <f t="shared" ref="O67" si="19">O66/N66-1</f>
        <v>3.6835524360868011E-2</v>
      </c>
      <c r="P67" s="617">
        <f t="shared" ref="P67" si="20">P66/O66-1</f>
        <v>2.0812089385107146E-2</v>
      </c>
      <c r="Q67" s="97"/>
      <c r="R67" s="780">
        <f>+R66/J66-1</f>
        <v>-0.13084390477996533</v>
      </c>
      <c r="S67" s="841"/>
      <c r="T67" s="841"/>
      <c r="U67" s="616"/>
      <c r="V67" s="616"/>
      <c r="W67" s="617"/>
      <c r="X67" s="74"/>
      <c r="Y67" s="561"/>
      <c r="Z67" s="561"/>
      <c r="AA67" s="561"/>
      <c r="AB67" s="561"/>
    </row>
    <row r="68" spans="1:28" s="179" customFormat="1" ht="12" customHeight="1">
      <c r="A68" s="196" t="s">
        <v>139</v>
      </c>
      <c r="B68" s="197"/>
      <c r="C68" s="982"/>
      <c r="D68" s="982"/>
      <c r="E68" s="982"/>
      <c r="F68" s="198">
        <v>246.09299999999999</v>
      </c>
      <c r="G68" s="111">
        <v>245.18199999999999</v>
      </c>
      <c r="H68" s="572">
        <v>249.824836137597</v>
      </c>
      <c r="I68" s="572">
        <v>256.3</v>
      </c>
      <c r="J68" s="930">
        <v>256.00565702730603</v>
      </c>
      <c r="K68" s="842">
        <v>134.32968502803001</v>
      </c>
      <c r="L68" s="843">
        <v>139.24003148171201</v>
      </c>
      <c r="M68" s="111">
        <f>K68+L68</f>
        <v>273.56971650974202</v>
      </c>
      <c r="N68" s="627">
        <v>204.80311130053201</v>
      </c>
      <c r="O68" s="627">
        <v>240.42251109710699</v>
      </c>
      <c r="P68" s="628">
        <v>258.33819951035298</v>
      </c>
      <c r="Q68" s="97"/>
      <c r="R68" s="916">
        <v>134.32968502803001</v>
      </c>
      <c r="S68" s="843"/>
      <c r="T68" s="843"/>
      <c r="U68" s="627"/>
      <c r="V68" s="627"/>
      <c r="W68" s="628"/>
      <c r="X68" s="574"/>
      <c r="Y68" s="561"/>
      <c r="Z68" s="561"/>
      <c r="AA68" s="561"/>
      <c r="AB68" s="561"/>
    </row>
    <row r="69" spans="1:28" s="179" customFormat="1" ht="12" customHeight="1">
      <c r="A69" s="192" t="s">
        <v>99</v>
      </c>
      <c r="B69" s="197"/>
      <c r="C69" s="981"/>
      <c r="D69" s="981"/>
      <c r="E69" s="981"/>
      <c r="F69" s="1002"/>
      <c r="G69" s="193">
        <f t="shared" ref="G69:L69" si="21">G68/F68-1</f>
        <v>-3.7018525516776535E-3</v>
      </c>
      <c r="H69" s="571">
        <f t="shared" si="21"/>
        <v>1.8936284627733668E-2</v>
      </c>
      <c r="I69" s="571">
        <f t="shared" si="21"/>
        <v>2.5918815609015988E-2</v>
      </c>
      <c r="J69" s="929">
        <f t="shared" si="21"/>
        <v>-1.14843141901666E-3</v>
      </c>
      <c r="K69" s="840">
        <f>K68/J68-1</f>
        <v>-0.47528626285901887</v>
      </c>
      <c r="L69" s="841">
        <f t="shared" si="21"/>
        <v>3.6554440313452563E-2</v>
      </c>
      <c r="M69" s="718"/>
      <c r="N69" s="616">
        <f t="shared" ref="N69" si="22">N68/L68-1</f>
        <v>0.47086372447015101</v>
      </c>
      <c r="O69" s="616">
        <f t="shared" ref="O69" si="23">O68/N68-1</f>
        <v>0.17392020839129918</v>
      </c>
      <c r="P69" s="617">
        <f t="shared" ref="P69" si="24">P68/O68-1</f>
        <v>7.4517516398494799E-2</v>
      </c>
      <c r="Q69" s="97"/>
      <c r="R69" s="780">
        <f>+R68/J68-1</f>
        <v>-0.47528626285901887</v>
      </c>
      <c r="S69" s="841"/>
      <c r="T69" s="841"/>
      <c r="U69" s="616"/>
      <c r="V69" s="616"/>
      <c r="W69" s="617"/>
      <c r="X69" s="74"/>
      <c r="Y69" s="561"/>
      <c r="Z69" s="561"/>
      <c r="AA69" s="561"/>
      <c r="AB69" s="561"/>
    </row>
    <row r="70" spans="1:28" s="179" customFormat="1" ht="12" customHeight="1">
      <c r="A70" s="196" t="s">
        <v>140</v>
      </c>
      <c r="B70" s="197"/>
      <c r="C70" s="983"/>
      <c r="D70" s="983"/>
      <c r="E70" s="983"/>
      <c r="F70" s="199">
        <f t="shared" ref="F70:J70" si="25">F66/F68</f>
        <v>1947.0811392252517</v>
      </c>
      <c r="G70" s="200">
        <f t="shared" si="25"/>
        <v>1911.4377032716122</v>
      </c>
      <c r="H70" s="573">
        <f t="shared" si="25"/>
        <v>1842.1422356748706</v>
      </c>
      <c r="I70" s="573">
        <f t="shared" si="25"/>
        <v>1821.9359321182715</v>
      </c>
      <c r="J70" s="1027">
        <f t="shared" si="25"/>
        <v>1746.037330097196</v>
      </c>
      <c r="K70" s="844">
        <f>K66/K68</f>
        <v>2892.2036541382708</v>
      </c>
      <c r="L70" s="845">
        <f>L66/L68</f>
        <v>2750.5600614841655</v>
      </c>
      <c r="M70" s="200">
        <f>M66/M68</f>
        <v>2820.1106660986457</v>
      </c>
      <c r="N70" s="620">
        <f t="shared" ref="N70:P70" si="26">N66/N68</f>
        <v>1830.9187214575215</v>
      </c>
      <c r="O70" s="620">
        <f t="shared" si="26"/>
        <v>1617.112951165557</v>
      </c>
      <c r="P70" s="621">
        <f t="shared" si="26"/>
        <v>1536.2880783777061</v>
      </c>
      <c r="Q70" s="97"/>
      <c r="R70" s="917">
        <f>R66/R68</f>
        <v>2892.2036541382708</v>
      </c>
      <c r="S70" s="845"/>
      <c r="T70" s="845"/>
      <c r="U70" s="620"/>
      <c r="V70" s="620"/>
      <c r="W70" s="621"/>
      <c r="X70" s="74"/>
      <c r="Y70" s="561"/>
      <c r="Z70" s="561"/>
      <c r="AA70" s="561"/>
      <c r="AB70" s="561"/>
    </row>
    <row r="71" spans="1:28" ht="12" customHeight="1">
      <c r="A71" s="203" t="s">
        <v>99</v>
      </c>
      <c r="B71" s="197"/>
      <c r="C71" s="981"/>
      <c r="D71" s="981"/>
      <c r="E71" s="981"/>
      <c r="F71" s="1003"/>
      <c r="G71" s="204">
        <f t="shared" ref="G71:J71" si="27">G70/F70-1</f>
        <v>-1.8306086600901494E-2</v>
      </c>
      <c r="H71" s="569">
        <f t="shared" si="27"/>
        <v>-3.6253060969832163E-2</v>
      </c>
      <c r="I71" s="569">
        <f t="shared" si="27"/>
        <v>-1.0968916061574685E-2</v>
      </c>
      <c r="J71" s="1028">
        <f t="shared" si="27"/>
        <v>-4.1658216780889767E-2</v>
      </c>
      <c r="K71" s="846">
        <f>K70/J70-1</f>
        <v>0.65643861347298427</v>
      </c>
      <c r="L71" s="847">
        <f>L70/K70-1</f>
        <v>-4.8974280373180634E-2</v>
      </c>
      <c r="M71" s="447"/>
      <c r="N71" s="623">
        <f>N70/L70-1</f>
        <v>-0.33434694006660515</v>
      </c>
      <c r="O71" s="623">
        <f t="shared" ref="O71:P71" si="28">O70/N70-1</f>
        <v>-0.11677512922133559</v>
      </c>
      <c r="P71" s="624">
        <f t="shared" si="28"/>
        <v>-4.9980969312994006E-2</v>
      </c>
      <c r="Q71" s="97"/>
      <c r="R71" s="786">
        <f>+R70/J70-1</f>
        <v>0.65643861347298427</v>
      </c>
      <c r="S71" s="847"/>
      <c r="T71" s="847"/>
      <c r="U71" s="623"/>
      <c r="V71" s="623"/>
      <c r="W71" s="624"/>
      <c r="Y71" s="561"/>
      <c r="Z71" s="561"/>
      <c r="AA71" s="561"/>
      <c r="AB71" s="561"/>
    </row>
    <row r="72" spans="1:28" s="450" customFormat="1" ht="12" customHeight="1">
      <c r="A72" s="206"/>
      <c r="B72" s="197"/>
      <c r="C72" s="984"/>
      <c r="D72" s="984"/>
      <c r="E72" s="984"/>
      <c r="F72" s="197"/>
      <c r="G72" s="197"/>
      <c r="H72" s="197"/>
      <c r="I72" s="197"/>
      <c r="J72" s="197"/>
      <c r="K72" s="788"/>
      <c r="L72" s="788"/>
      <c r="M72" s="194"/>
      <c r="N72" s="194"/>
      <c r="O72" s="194"/>
      <c r="P72" s="194"/>
      <c r="Q72" s="97"/>
      <c r="R72" s="788"/>
      <c r="S72" s="179"/>
      <c r="T72" s="179"/>
      <c r="U72" s="179"/>
      <c r="V72" s="179"/>
      <c r="W72" s="179"/>
    </row>
    <row r="73" spans="1:28" s="450" customFormat="1" ht="12" customHeight="1">
      <c r="A73" s="207" t="s">
        <v>141</v>
      </c>
      <c r="B73" s="83"/>
      <c r="C73" s="967"/>
      <c r="D73" s="967"/>
      <c r="E73" s="967"/>
      <c r="F73" s="83"/>
      <c r="G73" s="83"/>
      <c r="H73" s="83"/>
      <c r="I73" s="83"/>
      <c r="J73" s="83"/>
      <c r="K73" s="207"/>
      <c r="L73" s="207"/>
      <c r="M73" s="83"/>
      <c r="N73" s="83"/>
      <c r="O73" s="83"/>
      <c r="P73" s="83"/>
      <c r="Q73" s="97"/>
      <c r="R73" s="207"/>
      <c r="S73" s="74"/>
      <c r="T73" s="74"/>
      <c r="U73" s="74"/>
      <c r="V73" s="74"/>
      <c r="W73" s="74"/>
    </row>
    <row r="74" spans="1:28" s="459" customFormat="1" ht="12" customHeight="1">
      <c r="A74" s="208" t="s">
        <v>499</v>
      </c>
      <c r="B74" s="209"/>
      <c r="C74" s="985"/>
      <c r="D74" s="985"/>
      <c r="E74" s="985"/>
      <c r="F74" s="209"/>
      <c r="G74" s="209"/>
      <c r="H74" s="209"/>
      <c r="I74" s="209"/>
      <c r="J74" s="209"/>
      <c r="K74" s="215"/>
      <c r="L74" s="215"/>
      <c r="M74" s="210"/>
      <c r="N74" s="182"/>
      <c r="O74" s="469"/>
      <c r="P74" s="211"/>
      <c r="Q74" s="97"/>
      <c r="R74" s="215"/>
      <c r="S74" s="450"/>
      <c r="T74" s="450"/>
      <c r="U74" s="450"/>
      <c r="V74" s="450"/>
      <c r="W74" s="450"/>
    </row>
    <row r="75" spans="1:28" s="459" customFormat="1" ht="12" customHeight="1">
      <c r="A75" s="208" t="s">
        <v>142</v>
      </c>
      <c r="B75" s="212"/>
      <c r="C75" s="986"/>
      <c r="D75" s="986"/>
      <c r="E75" s="986"/>
      <c r="F75" s="212"/>
      <c r="G75" s="212"/>
      <c r="H75" s="212"/>
      <c r="I75" s="212"/>
      <c r="J75" s="212"/>
      <c r="K75" s="215"/>
      <c r="L75" s="215"/>
      <c r="M75" s="215"/>
      <c r="N75" s="215"/>
      <c r="O75" s="470"/>
      <c r="P75" s="210"/>
      <c r="Q75" s="97"/>
      <c r="R75" s="215"/>
      <c r="S75" s="74"/>
      <c r="T75" s="74"/>
      <c r="U75" s="74"/>
      <c r="V75" s="74"/>
      <c r="W75" s="74"/>
    </row>
    <row r="76" spans="1:28" ht="12" customHeight="1">
      <c r="A76" s="208" t="s">
        <v>143</v>
      </c>
      <c r="B76" s="213"/>
      <c r="C76" s="987"/>
      <c r="D76" s="987"/>
      <c r="E76" s="987"/>
      <c r="F76" s="213"/>
      <c r="G76" s="213"/>
      <c r="H76" s="213"/>
      <c r="I76" s="213"/>
      <c r="J76" s="213"/>
      <c r="K76" s="723"/>
      <c r="L76" s="723"/>
      <c r="M76" s="214"/>
      <c r="N76" s="214"/>
      <c r="O76" s="471"/>
      <c r="P76" s="472"/>
      <c r="Q76" s="97"/>
      <c r="R76" s="723"/>
      <c r="S76" s="459"/>
      <c r="T76" s="459"/>
      <c r="U76" s="459"/>
      <c r="V76" s="459"/>
      <c r="W76" s="459"/>
    </row>
    <row r="77" spans="1:28" s="459" customFormat="1" ht="12" customHeight="1">
      <c r="A77" s="208"/>
      <c r="B77" s="83"/>
      <c r="C77" s="967"/>
      <c r="D77" s="967"/>
      <c r="E77" s="967"/>
      <c r="F77" s="83"/>
      <c r="G77" s="83"/>
      <c r="H77" s="83"/>
      <c r="I77" s="83"/>
      <c r="J77" s="83"/>
      <c r="K77" s="725"/>
      <c r="L77" s="725"/>
      <c r="M77" s="473"/>
      <c r="N77" s="473"/>
      <c r="O77" s="710"/>
      <c r="P77" s="472"/>
      <c r="Q77" s="97"/>
      <c r="R77" s="725"/>
    </row>
    <row r="78" spans="1:28" ht="12" customHeight="1">
      <c r="A78" s="474"/>
      <c r="B78" s="474"/>
      <c r="C78" s="988"/>
      <c r="D78" s="988"/>
      <c r="E78" s="988"/>
      <c r="F78" s="75"/>
      <c r="G78" s="75"/>
      <c r="H78" s="75"/>
      <c r="I78" s="75"/>
      <c r="J78" s="75"/>
      <c r="K78" s="475"/>
      <c r="L78" s="475"/>
      <c r="M78" s="475"/>
      <c r="N78" s="475"/>
      <c r="O78" s="475"/>
      <c r="P78" s="214"/>
      <c r="Q78" s="97"/>
      <c r="R78" s="475"/>
    </row>
    <row r="79" spans="1:28" ht="12" customHeight="1">
      <c r="A79" s="75"/>
      <c r="B79" s="75"/>
      <c r="F79" s="75"/>
      <c r="G79" s="75"/>
      <c r="H79" s="75"/>
      <c r="I79" s="75"/>
      <c r="J79" s="75"/>
      <c r="K79" s="475"/>
      <c r="L79" s="475"/>
      <c r="M79" s="79"/>
      <c r="N79" s="79"/>
      <c r="O79" s="79"/>
      <c r="P79" s="79"/>
      <c r="Q79" s="97"/>
      <c r="R79" s="475"/>
      <c r="S79" s="459"/>
      <c r="T79" s="459"/>
      <c r="U79" s="459"/>
      <c r="V79" s="459"/>
      <c r="W79" s="459"/>
    </row>
    <row r="80" spans="1:28" s="459" customFormat="1" ht="12" customHeight="1">
      <c r="A80" s="208"/>
      <c r="B80" s="83"/>
      <c r="C80" s="967"/>
      <c r="D80" s="967"/>
      <c r="E80" s="967"/>
      <c r="F80" s="83"/>
      <c r="G80" s="1039"/>
      <c r="H80" s="1039"/>
      <c r="I80" s="1039"/>
      <c r="J80" s="1039"/>
      <c r="K80" s="670"/>
      <c r="L80" s="670"/>
      <c r="M80" s="90"/>
      <c r="N80" s="670"/>
      <c r="O80" s="670"/>
      <c r="P80" s="670"/>
      <c r="Q80" s="97"/>
      <c r="R80" s="670"/>
    </row>
    <row r="81" spans="1:23" ht="12" customHeight="1">
      <c r="A81" s="474"/>
      <c r="B81" s="474"/>
      <c r="C81" s="988"/>
      <c r="D81" s="988"/>
      <c r="E81" s="988"/>
      <c r="F81" s="75"/>
      <c r="G81" s="75"/>
      <c r="H81" s="75"/>
      <c r="I81" s="1040"/>
      <c r="J81" s="75"/>
      <c r="K81" s="474"/>
      <c r="L81" s="474"/>
      <c r="N81" s="474"/>
      <c r="O81" s="474"/>
      <c r="P81" s="474"/>
      <c r="Q81" s="221"/>
      <c r="R81" s="474"/>
    </row>
    <row r="82" spans="1:23" ht="12" customHeight="1">
      <c r="A82" s="75"/>
      <c r="B82" s="75"/>
      <c r="F82" s="75"/>
      <c r="G82" s="75"/>
      <c r="H82" s="75"/>
      <c r="I82" s="75"/>
      <c r="J82" s="75"/>
      <c r="K82" s="474"/>
      <c r="L82" s="474"/>
      <c r="N82" s="75"/>
      <c r="O82" s="75"/>
      <c r="P82" s="75"/>
      <c r="Q82" s="473"/>
      <c r="R82" s="474"/>
      <c r="S82" s="459"/>
      <c r="T82" s="459"/>
      <c r="U82" s="459"/>
      <c r="V82" s="459"/>
      <c r="W82" s="459"/>
    </row>
    <row r="83" spans="1:23">
      <c r="F83" s="669"/>
      <c r="G83" s="669"/>
      <c r="H83" s="669"/>
      <c r="I83" s="669"/>
      <c r="J83" s="669"/>
      <c r="K83" s="727"/>
      <c r="L83" s="727"/>
      <c r="M83" s="74"/>
      <c r="N83" s="669"/>
      <c r="O83" s="669"/>
      <c r="P83" s="669"/>
      <c r="Q83" s="90"/>
      <c r="R83" s="727"/>
      <c r="S83" s="90"/>
      <c r="T83" s="90"/>
      <c r="U83" s="90"/>
      <c r="V83" s="90"/>
      <c r="W83" s="90"/>
    </row>
    <row r="84" spans="1:23">
      <c r="P84" s="79"/>
      <c r="Q84" s="79"/>
    </row>
    <row r="86" spans="1:23" ht="12" customHeight="1">
      <c r="A86" s="74"/>
      <c r="B86" s="74"/>
      <c r="C86" s="967"/>
      <c r="D86" s="967"/>
      <c r="E86" s="967"/>
      <c r="F86" s="74"/>
      <c r="G86" s="74"/>
      <c r="H86" s="74"/>
      <c r="I86" s="74"/>
      <c r="J86" s="74"/>
      <c r="K86" s="516"/>
      <c r="L86" s="516"/>
      <c r="N86" s="74"/>
      <c r="O86" s="74"/>
      <c r="R86" s="516"/>
    </row>
    <row r="88" spans="1:23">
      <c r="P88" s="74"/>
      <c r="Q88" s="74"/>
    </row>
    <row r="117" spans="1:18">
      <c r="M117" s="74"/>
    </row>
    <row r="120" spans="1:18" ht="12" customHeight="1">
      <c r="A120" s="476"/>
      <c r="B120" s="74"/>
      <c r="C120" s="967"/>
      <c r="D120" s="967"/>
      <c r="E120" s="967"/>
      <c r="F120" s="74"/>
      <c r="G120" s="74"/>
      <c r="H120" s="74"/>
      <c r="I120" s="74"/>
      <c r="J120" s="74"/>
      <c r="K120" s="516"/>
      <c r="L120" s="516"/>
      <c r="N120" s="74"/>
      <c r="O120" s="74"/>
      <c r="R120" s="516"/>
    </row>
    <row r="122" spans="1:18">
      <c r="P122" s="74"/>
      <c r="Q122" s="74"/>
    </row>
  </sheetData>
  <mergeCells count="3">
    <mergeCell ref="K7:P7"/>
    <mergeCell ref="R7:W7"/>
    <mergeCell ref="F7:J7"/>
  </mergeCells>
  <pageMargins left="0.7" right="0.7" top="0.75" bottom="0.75" header="0.3" footer="0.3"/>
  <pageSetup paperSize="9" scale="69" orientation="portrait" r:id="rId1"/>
  <ignoredErrors>
    <ignoredError sqref="F70:K7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84">
    <pageSetUpPr fitToPage="1"/>
  </sheetPr>
  <dimension ref="A1:AB144"/>
  <sheetViews>
    <sheetView showGridLines="0" zoomScale="120" zoomScaleNormal="120" workbookViewId="0">
      <selection activeCell="K13" sqref="K13:L13"/>
    </sheetView>
  </sheetViews>
  <sheetFormatPr baseColWidth="10" defaultColWidth="12.5703125" defaultRowHeight="12"/>
  <cols>
    <col min="1" max="1" width="30.7109375" style="90" customWidth="1"/>
    <col min="2" max="2" width="0.5703125" style="90" customWidth="1"/>
    <col min="3" max="5" width="8" style="963" hidden="1" customWidth="1"/>
    <col min="6" max="10" width="8.5703125" style="90" customWidth="1"/>
    <col min="11" max="12" width="8.5703125" style="728" customWidth="1"/>
    <col min="13" max="13" width="8.5703125" style="713" customWidth="1"/>
    <col min="14" max="16" width="8.5703125" style="76" customWidth="1"/>
    <col min="17" max="17" width="0.5703125" style="76" customWidth="1"/>
    <col min="18" max="23" width="8.5703125" style="74" customWidth="1"/>
    <col min="24" max="16384" width="12.5703125" style="74"/>
  </cols>
  <sheetData>
    <row r="1" spans="1:28" ht="12" customHeight="1">
      <c r="A1" s="73" t="s">
        <v>346</v>
      </c>
      <c r="B1" s="73"/>
      <c r="C1" s="962"/>
      <c r="D1" s="962"/>
      <c r="E1" s="962"/>
      <c r="F1" s="73"/>
      <c r="G1" s="73"/>
      <c r="H1" s="73"/>
      <c r="I1" s="73"/>
      <c r="J1" s="73"/>
      <c r="L1" s="729"/>
      <c r="M1" s="73"/>
      <c r="N1" s="73"/>
      <c r="O1" s="73"/>
      <c r="P1" s="73"/>
      <c r="Q1" s="73"/>
      <c r="R1" s="73"/>
      <c r="S1" s="73"/>
      <c r="T1" s="73"/>
      <c r="U1" s="73"/>
      <c r="V1" s="73"/>
      <c r="W1" s="73"/>
    </row>
    <row r="2" spans="1:28" ht="12" customHeight="1">
      <c r="A2" s="75"/>
      <c r="B2" s="75"/>
      <c r="F2" s="75"/>
      <c r="G2" s="75"/>
      <c r="H2" s="75"/>
      <c r="I2" s="75"/>
      <c r="J2" s="75"/>
    </row>
    <row r="3" spans="1:28" ht="12" customHeight="1">
      <c r="A3" s="77" t="str">
        <f>Header!B3</f>
        <v>Norway - TCZ</v>
      </c>
      <c r="B3" s="78"/>
      <c r="C3" s="964"/>
      <c r="D3" s="964"/>
      <c r="E3" s="964"/>
      <c r="F3" s="78"/>
      <c r="G3" s="78"/>
      <c r="H3" s="78"/>
      <c r="I3" s="78"/>
      <c r="J3" s="78"/>
      <c r="K3" s="475"/>
      <c r="L3" s="475"/>
      <c r="M3" s="714"/>
      <c r="N3" s="79"/>
      <c r="O3" s="79"/>
      <c r="P3" s="79"/>
      <c r="Q3" s="79"/>
      <c r="R3" s="430"/>
      <c r="S3" s="430"/>
      <c r="T3" s="430"/>
      <c r="U3" s="430"/>
      <c r="V3" s="430"/>
      <c r="W3" s="430"/>
    </row>
    <row r="4" spans="1:28" ht="12" customHeight="1">
      <c r="A4" s="80" t="s">
        <v>695</v>
      </c>
      <c r="B4" s="78"/>
      <c r="K4" s="475"/>
      <c r="L4" s="475"/>
      <c r="M4" s="714"/>
      <c r="N4" s="79"/>
      <c r="O4" s="79"/>
      <c r="P4" s="79"/>
      <c r="Q4" s="79"/>
    </row>
    <row r="5" spans="1:28" ht="12" customHeight="1">
      <c r="A5" s="81" t="s">
        <v>696</v>
      </c>
      <c r="B5" s="78"/>
      <c r="C5" s="964"/>
      <c r="D5" s="964"/>
      <c r="E5" s="964"/>
      <c r="F5" s="78"/>
      <c r="G5" s="78"/>
      <c r="H5" s="78"/>
      <c r="I5" s="78"/>
      <c r="J5" s="78"/>
      <c r="K5" s="475"/>
      <c r="L5" s="475"/>
      <c r="M5" s="714"/>
      <c r="N5" s="79"/>
      <c r="O5" s="79"/>
      <c r="P5" s="79"/>
      <c r="Q5" s="79"/>
    </row>
    <row r="6" spans="1:28" ht="12" customHeight="1">
      <c r="A6" s="75"/>
      <c r="B6" s="75"/>
      <c r="F6" s="75"/>
      <c r="G6" s="75"/>
      <c r="H6" s="75"/>
      <c r="I6" s="75"/>
      <c r="J6" s="75"/>
    </row>
    <row r="7" spans="1:28" s="82" customFormat="1" ht="12" customHeight="1">
      <c r="C7" s="965"/>
      <c r="D7" s="966"/>
      <c r="E7" s="966"/>
      <c r="F7" s="1505" t="s">
        <v>555</v>
      </c>
      <c r="G7" s="1506"/>
      <c r="H7" s="1506"/>
      <c r="I7" s="1506"/>
      <c r="J7" s="1507"/>
      <c r="K7" s="1500" t="s">
        <v>345</v>
      </c>
      <c r="L7" s="1501"/>
      <c r="M7" s="1501"/>
      <c r="N7" s="1501"/>
      <c r="O7" s="1501"/>
      <c r="P7" s="1502"/>
      <c r="Q7" s="1004"/>
      <c r="R7" s="1505" t="s">
        <v>89</v>
      </c>
      <c r="S7" s="1506"/>
      <c r="T7" s="1506"/>
      <c r="U7" s="1506"/>
      <c r="V7" s="1506"/>
      <c r="W7" s="1507"/>
    </row>
    <row r="8" spans="1:28" ht="12" customHeight="1">
      <c r="A8" s="74"/>
      <c r="B8" s="74"/>
      <c r="C8" s="967"/>
      <c r="D8" s="967"/>
      <c r="E8" s="967"/>
      <c r="F8" s="74"/>
      <c r="G8" s="74"/>
      <c r="H8" s="74"/>
      <c r="I8" s="74"/>
      <c r="J8" s="74"/>
      <c r="K8" s="207"/>
      <c r="L8" s="207"/>
      <c r="M8" s="715"/>
      <c r="N8" s="83"/>
      <c r="O8" s="83"/>
      <c r="P8" s="83"/>
      <c r="Q8" s="83"/>
    </row>
    <row r="9" spans="1:28" s="89" customFormat="1" ht="12" customHeight="1">
      <c r="A9" s="84" t="s">
        <v>90</v>
      </c>
      <c r="B9" s="75"/>
      <c r="C9" s="968"/>
      <c r="D9" s="968"/>
      <c r="E9" s="968"/>
      <c r="F9" s="85">
        <v>2015</v>
      </c>
      <c r="G9" s="86">
        <v>2016</v>
      </c>
      <c r="H9" s="86">
        <v>2017</v>
      </c>
      <c r="I9" s="86">
        <v>2018</v>
      </c>
      <c r="J9" s="87">
        <v>2019</v>
      </c>
      <c r="K9" s="711">
        <v>2020</v>
      </c>
      <c r="L9" s="711">
        <v>2021</v>
      </c>
      <c r="M9" s="86" t="s">
        <v>498</v>
      </c>
      <c r="N9" s="86">
        <v>2022</v>
      </c>
      <c r="O9" s="86">
        <v>2023</v>
      </c>
      <c r="P9" s="87">
        <v>2024</v>
      </c>
      <c r="Q9" s="88"/>
      <c r="R9" s="931">
        <v>2020</v>
      </c>
      <c r="S9" s="712">
        <v>2021</v>
      </c>
      <c r="T9" s="86" t="s">
        <v>498</v>
      </c>
      <c r="U9" s="86">
        <v>2022</v>
      </c>
      <c r="V9" s="86">
        <v>2023</v>
      </c>
      <c r="W9" s="87">
        <v>2024</v>
      </c>
    </row>
    <row r="10" spans="1:28" ht="12" customHeight="1">
      <c r="A10" s="75"/>
      <c r="B10" s="75"/>
      <c r="F10" s="75"/>
      <c r="G10" s="75"/>
      <c r="H10" s="75"/>
      <c r="I10" s="75"/>
      <c r="J10" s="75"/>
      <c r="K10" s="538"/>
      <c r="L10" s="538"/>
      <c r="M10" s="90"/>
      <c r="N10" s="90"/>
      <c r="R10" s="538"/>
      <c r="S10" s="90"/>
      <c r="T10" s="90"/>
      <c r="U10" s="90"/>
      <c r="V10" s="90"/>
      <c r="W10" s="90"/>
    </row>
    <row r="11" spans="1:28" ht="15.6" customHeight="1">
      <c r="A11" s="91" t="s">
        <v>91</v>
      </c>
      <c r="B11" s="969"/>
      <c r="C11" s="969"/>
      <c r="D11" s="969"/>
      <c r="E11" s="969"/>
      <c r="F11" s="91"/>
      <c r="G11" s="91"/>
      <c r="H11" s="91"/>
      <c r="I11" s="91"/>
      <c r="J11" s="91"/>
      <c r="K11" s="730"/>
      <c r="L11" s="730"/>
      <c r="M11" s="93"/>
      <c r="N11" s="93"/>
      <c r="O11" s="93"/>
      <c r="P11" s="92"/>
      <c r="Q11" s="92"/>
      <c r="R11" s="730"/>
      <c r="S11" s="93"/>
      <c r="T11" s="93"/>
      <c r="U11" s="94"/>
      <c r="V11" s="94"/>
      <c r="W11" s="94"/>
    </row>
    <row r="12" spans="1:28" ht="12" customHeight="1">
      <c r="A12" s="95" t="s">
        <v>92</v>
      </c>
      <c r="B12" s="102"/>
      <c r="C12" s="970"/>
      <c r="D12" s="970"/>
      <c r="E12" s="970"/>
      <c r="F12" s="98">
        <v>307068.03714869084</v>
      </c>
      <c r="G12" s="99">
        <v>282568.22263988364</v>
      </c>
      <c r="H12" s="99">
        <v>269845.11925839004</v>
      </c>
      <c r="I12" s="99">
        <v>282487.50554045144</v>
      </c>
      <c r="J12" s="709">
        <v>289765.38923909504</v>
      </c>
      <c r="K12" s="731">
        <v>234928.24279635446</v>
      </c>
      <c r="L12" s="732">
        <v>229091.19895847945</v>
      </c>
      <c r="M12" s="99">
        <f>K12+L12</f>
        <v>464019.44175483391</v>
      </c>
      <c r="N12" s="732">
        <v>233871.37476464151</v>
      </c>
      <c r="O12" s="732">
        <v>238691.54543248232</v>
      </c>
      <c r="P12" s="1414">
        <v>246331.62963183451</v>
      </c>
      <c r="Q12" s="97"/>
      <c r="R12" s="731">
        <v>234928.24279635446</v>
      </c>
      <c r="S12" s="477"/>
      <c r="T12" s="477"/>
      <c r="U12" s="479"/>
      <c r="V12" s="477"/>
      <c r="W12" s="478"/>
      <c r="X12" s="129"/>
      <c r="Y12" s="1406"/>
      <c r="Z12" s="562"/>
      <c r="AA12" s="562"/>
      <c r="AB12" s="562"/>
    </row>
    <row r="13" spans="1:28" ht="12" customHeight="1">
      <c r="A13" s="102" t="s">
        <v>93</v>
      </c>
      <c r="B13" s="102"/>
      <c r="C13" s="971"/>
      <c r="D13" s="971"/>
      <c r="E13" s="971"/>
      <c r="F13" s="480"/>
      <c r="G13" s="481"/>
      <c r="H13" s="481"/>
      <c r="I13" s="481"/>
      <c r="J13" s="708"/>
      <c r="K13" s="735">
        <f>'T1 ENBR'!K13+'T1 ENGM'!K13+'T1 ENZV'!K13+'T1 ENVA'!K13</f>
        <v>70988.178000000014</v>
      </c>
      <c r="L13" s="736">
        <f>'T1 ENBR'!L13+'T1 ENGM'!L13+'T1 ENZV'!L13+'T1 ENVA'!L13</f>
        <v>68501.226999999999</v>
      </c>
      <c r="M13" s="104">
        <f>L13+K13</f>
        <v>139489.40500000003</v>
      </c>
      <c r="N13" s="736">
        <f>'T1 ENBR'!N13+'T1 ENGM'!N13+'T1 ENZV'!N13+'T1 ENVA'!N13</f>
        <v>70349.767999999996</v>
      </c>
      <c r="O13" s="736">
        <f>'T1 ENBR'!O13+'T1 ENGM'!O13+'T1 ENZV'!O13+'T1 ENVA'!O13</f>
        <v>71965.743000000002</v>
      </c>
      <c r="P13" s="1415">
        <f>'T1 ENBR'!P13+'T1 ENGM'!P13+'T1 ENZV'!P13+'T1 ENVA'!P13</f>
        <v>73532.292000000001</v>
      </c>
      <c r="Q13" s="97"/>
      <c r="R13" s="735">
        <f>'T1 ENBR'!R13+'T1 ENGM'!R13+'T1 ENZV'!R13+'T1 ENVA'!R13</f>
        <v>70988.178000000014</v>
      </c>
      <c r="S13" s="484"/>
      <c r="T13" s="484"/>
      <c r="U13" s="486"/>
      <c r="V13" s="484"/>
      <c r="W13" s="485"/>
      <c r="X13" s="129"/>
      <c r="Y13" s="1406"/>
      <c r="Z13" s="562"/>
      <c r="AA13" s="562"/>
      <c r="AB13" s="562"/>
    </row>
    <row r="14" spans="1:28" ht="12" customHeight="1">
      <c r="A14" s="102" t="s">
        <v>94</v>
      </c>
      <c r="B14" s="102"/>
      <c r="C14" s="970"/>
      <c r="D14" s="970"/>
      <c r="E14" s="970"/>
      <c r="F14" s="103">
        <v>105235.26837648051</v>
      </c>
      <c r="G14" s="104">
        <v>100093.07421329456</v>
      </c>
      <c r="H14" s="104">
        <v>97754.48390008157</v>
      </c>
      <c r="I14" s="104">
        <v>104392.85477481714</v>
      </c>
      <c r="J14" s="431">
        <v>114091.16477893307</v>
      </c>
      <c r="K14" s="735">
        <v>96854.950380080205</v>
      </c>
      <c r="L14" s="736">
        <v>105776.56588205864</v>
      </c>
      <c r="M14" s="104">
        <f t="shared" ref="M14:M17" si="0">K14+L14</f>
        <v>202631.51626213884</v>
      </c>
      <c r="N14" s="736">
        <v>100199.2611854001</v>
      </c>
      <c r="O14" s="736">
        <v>110624.2755457318</v>
      </c>
      <c r="P14" s="1415">
        <v>114130.26725667778</v>
      </c>
      <c r="Q14" s="97"/>
      <c r="R14" s="735">
        <v>96854.950380080205</v>
      </c>
      <c r="S14" s="487"/>
      <c r="T14" s="487"/>
      <c r="U14" s="489"/>
      <c r="V14" s="487"/>
      <c r="W14" s="488"/>
      <c r="X14" s="129"/>
      <c r="Y14" s="1406"/>
      <c r="Z14" s="1406"/>
      <c r="AA14" s="562"/>
      <c r="AB14" s="562"/>
    </row>
    <row r="15" spans="1:28" ht="12" customHeight="1">
      <c r="A15" s="102" t="s">
        <v>95</v>
      </c>
      <c r="B15" s="102"/>
      <c r="C15" s="970"/>
      <c r="D15" s="970"/>
      <c r="E15" s="970"/>
      <c r="F15" s="103">
        <v>20235.34949634333</v>
      </c>
      <c r="G15" s="104">
        <v>40634.97393</v>
      </c>
      <c r="H15" s="104">
        <v>50380.875621502346</v>
      </c>
      <c r="I15" s="104">
        <v>49124.485000000001</v>
      </c>
      <c r="J15" s="431">
        <v>31269.800201120459</v>
      </c>
      <c r="K15" s="735">
        <v>39813.826957656034</v>
      </c>
      <c r="L15" s="736">
        <v>37238.779626385847</v>
      </c>
      <c r="M15" s="104">
        <f t="shared" si="0"/>
        <v>77052.606584041874</v>
      </c>
      <c r="N15" s="736">
        <v>35699.479020446444</v>
      </c>
      <c r="O15" s="736">
        <v>38376.535426039904</v>
      </c>
      <c r="P15" s="1415">
        <v>38244.631497186485</v>
      </c>
      <c r="Q15" s="97"/>
      <c r="R15" s="735">
        <v>39813.826957656034</v>
      </c>
      <c r="S15" s="487"/>
      <c r="T15" s="487"/>
      <c r="U15" s="489"/>
      <c r="V15" s="487"/>
      <c r="W15" s="488"/>
      <c r="X15" s="129"/>
      <c r="Y15" s="1406"/>
      <c r="Z15" s="562"/>
      <c r="AA15" s="562"/>
      <c r="AB15" s="562"/>
    </row>
    <row r="16" spans="1:28" ht="12" customHeight="1">
      <c r="A16" s="102" t="s">
        <v>96</v>
      </c>
      <c r="B16" s="102"/>
      <c r="C16" s="970"/>
      <c r="D16" s="970"/>
      <c r="E16" s="970"/>
      <c r="F16" s="103">
        <v>14832.730810699972</v>
      </c>
      <c r="G16" s="104">
        <v>33095.501216821875</v>
      </c>
      <c r="H16" s="104">
        <v>36895.667134433184</v>
      </c>
      <c r="I16" s="104">
        <v>36720.76</v>
      </c>
      <c r="J16" s="431">
        <v>27000.198328976832</v>
      </c>
      <c r="K16" s="735">
        <f>'T1 ENBR'!K16+'T1 ENGM'!K16+'T1 ENZV'!K16+'T1 ENVA'!K16</f>
        <v>30232.662584008573</v>
      </c>
      <c r="L16" s="736">
        <f>'T1 ENBR'!L16+'T1 ENGM'!L16+'T1 ENZV'!L16+'T1 ENVA'!L16</f>
        <v>31119.151818743827</v>
      </c>
      <c r="M16" s="104">
        <f t="shared" si="0"/>
        <v>61351.814402752396</v>
      </c>
      <c r="N16" s="736">
        <f>'T1 ENBR'!N16+'T1 ENGM'!N16+'T1 ENZV'!N16+'T1 ENVA'!N16</f>
        <v>31350.645031353946</v>
      </c>
      <c r="O16" s="736">
        <f>'T1 ENBR'!O16+'T1 ENGM'!O16+'T1 ENZV'!O16+'T1 ENVA'!O16</f>
        <v>34945.644861458975</v>
      </c>
      <c r="P16" s="1415">
        <f>'T1 ENBR'!P16+'T1 ENGM'!P16+'T1 ENZV'!P16+'T1 ENVA'!P16</f>
        <v>39570.232435075886</v>
      </c>
      <c r="Q16" s="97"/>
      <c r="R16" s="735">
        <v>30232.662584008573</v>
      </c>
      <c r="S16" s="487"/>
      <c r="T16" s="487"/>
      <c r="U16" s="489"/>
      <c r="V16" s="104"/>
      <c r="W16" s="431"/>
      <c r="X16" s="129"/>
      <c r="Y16" s="1406"/>
      <c r="Z16" s="562"/>
      <c r="AA16" s="562"/>
      <c r="AB16" s="562"/>
    </row>
    <row r="17" spans="1:28" ht="12" customHeight="1">
      <c r="A17" s="102" t="s">
        <v>97</v>
      </c>
      <c r="B17" s="102"/>
      <c r="C17" s="970"/>
      <c r="D17" s="970"/>
      <c r="E17" s="970"/>
      <c r="F17" s="103"/>
      <c r="G17" s="104"/>
      <c r="H17" s="104"/>
      <c r="I17" s="104"/>
      <c r="J17" s="431"/>
      <c r="K17" s="811">
        <v>0</v>
      </c>
      <c r="L17" s="736">
        <v>0</v>
      </c>
      <c r="M17" s="104">
        <f t="shared" si="0"/>
        <v>0</v>
      </c>
      <c r="N17" s="736">
        <v>0</v>
      </c>
      <c r="O17" s="736">
        <v>0</v>
      </c>
      <c r="P17" s="1415">
        <v>0</v>
      </c>
      <c r="Q17" s="97"/>
      <c r="R17" s="811">
        <v>0</v>
      </c>
      <c r="S17" s="487"/>
      <c r="T17" s="487"/>
      <c r="U17" s="489"/>
      <c r="V17" s="487"/>
      <c r="W17" s="488"/>
      <c r="X17" s="129"/>
      <c r="Y17" s="1406"/>
      <c r="Z17" s="562"/>
      <c r="AA17" s="562"/>
      <c r="AB17" s="562"/>
    </row>
    <row r="18" spans="1:28" ht="12" customHeight="1">
      <c r="A18" s="108" t="s">
        <v>98</v>
      </c>
      <c r="B18" s="432"/>
      <c r="C18" s="972"/>
      <c r="D18" s="972"/>
      <c r="E18" s="972"/>
      <c r="F18" s="109">
        <f t="shared" ref="F18:P18" si="1">F12+SUM(F14:F17)</f>
        <v>447371.38583221467</v>
      </c>
      <c r="G18" s="567">
        <f t="shared" si="1"/>
        <v>456391.77200000006</v>
      </c>
      <c r="H18" s="567">
        <f t="shared" si="1"/>
        <v>454876.14591440716</v>
      </c>
      <c r="I18" s="567">
        <f t="shared" si="1"/>
        <v>472725.60531526862</v>
      </c>
      <c r="J18" s="219">
        <f>J12+SUM(J14:J17)</f>
        <v>462126.55254812539</v>
      </c>
      <c r="K18" s="737">
        <f>K12+SUM(K14:K17)</f>
        <v>401829.68271809927</v>
      </c>
      <c r="L18" s="738">
        <f t="shared" si="1"/>
        <v>403225.69628566771</v>
      </c>
      <c r="M18" s="567">
        <f>M12+SUM(M14:M17)</f>
        <v>805055.37900376692</v>
      </c>
      <c r="N18" s="582">
        <f t="shared" si="1"/>
        <v>401120.76000184205</v>
      </c>
      <c r="O18" s="582">
        <f t="shared" si="1"/>
        <v>422638.00126571301</v>
      </c>
      <c r="P18" s="581">
        <f t="shared" si="1"/>
        <v>438276.76082077465</v>
      </c>
      <c r="Q18" s="97"/>
      <c r="R18" s="737">
        <f t="shared" ref="R18" si="2">R12+SUM(R14:R17)</f>
        <v>401829.68271809927</v>
      </c>
      <c r="S18" s="110"/>
      <c r="T18" s="567"/>
      <c r="U18" s="110"/>
      <c r="V18" s="110"/>
      <c r="W18" s="219"/>
      <c r="X18" s="129"/>
      <c r="Y18" s="1406"/>
      <c r="Z18" s="562"/>
      <c r="AA18" s="562"/>
      <c r="AB18" s="562"/>
    </row>
    <row r="19" spans="1:28" ht="12" customHeight="1">
      <c r="A19" s="113" t="s">
        <v>99</v>
      </c>
      <c r="B19" s="114"/>
      <c r="C19" s="973"/>
      <c r="D19" s="973"/>
      <c r="E19" s="973"/>
      <c r="F19" s="115"/>
      <c r="G19" s="116">
        <f t="shared" ref="G19:K19" si="3">+G18/F18-1</f>
        <v>2.0163082515895381E-2</v>
      </c>
      <c r="H19" s="116">
        <f t="shared" si="3"/>
        <v>-3.320888277523304E-3</v>
      </c>
      <c r="I19" s="116">
        <f t="shared" si="3"/>
        <v>3.9240262566373696E-2</v>
      </c>
      <c r="J19" s="117">
        <f t="shared" si="3"/>
        <v>-2.2421152245549636E-2</v>
      </c>
      <c r="K19" s="739">
        <f t="shared" si="3"/>
        <v>-0.1304769645837367</v>
      </c>
      <c r="L19" s="740">
        <f t="shared" ref="L19" si="4">+L18/K18-1</f>
        <v>3.4741424728141901E-3</v>
      </c>
      <c r="M19" s="716"/>
      <c r="N19" s="584">
        <f t="shared" ref="N19" si="5">+N18/L18-1</f>
        <v>-5.220243410118397E-3</v>
      </c>
      <c r="O19" s="584">
        <f t="shared" ref="O19" si="6">+O18/N18-1</f>
        <v>5.3642801394203854E-2</v>
      </c>
      <c r="P19" s="583">
        <f t="shared" ref="P19" si="7">+P18/O18-1</f>
        <v>3.7002729305521065E-2</v>
      </c>
      <c r="Q19" s="97"/>
      <c r="R19" s="739">
        <f>+R18/J18-1</f>
        <v>-0.1304769645837367</v>
      </c>
      <c r="S19" s="116"/>
      <c r="T19" s="116"/>
      <c r="U19" s="116"/>
      <c r="V19" s="116"/>
      <c r="W19" s="117"/>
      <c r="X19" s="129"/>
    </row>
    <row r="20" spans="1:28" ht="12" customHeight="1">
      <c r="A20" s="114"/>
      <c r="B20" s="114"/>
      <c r="C20" s="974"/>
      <c r="D20" s="974"/>
      <c r="E20" s="974"/>
      <c r="F20" s="114"/>
      <c r="G20" s="114"/>
      <c r="H20" s="114"/>
      <c r="I20" s="114"/>
      <c r="J20" s="114"/>
      <c r="K20" s="789"/>
      <c r="L20" s="789"/>
      <c r="M20" s="119"/>
      <c r="N20" s="1"/>
      <c r="O20" s="1"/>
      <c r="P20" s="1"/>
      <c r="Q20" s="97"/>
      <c r="R20" s="789"/>
      <c r="S20" s="119"/>
      <c r="T20" s="119"/>
      <c r="U20" s="119"/>
      <c r="V20" s="119"/>
      <c r="W20" s="119"/>
    </row>
    <row r="21" spans="1:28" ht="15.6" customHeight="1">
      <c r="A21" s="91" t="s">
        <v>100</v>
      </c>
      <c r="B21" s="91"/>
      <c r="C21" s="969"/>
      <c r="D21" s="969"/>
      <c r="E21" s="969"/>
      <c r="F21" s="91"/>
      <c r="G21" s="91"/>
      <c r="H21" s="91"/>
      <c r="I21" s="91"/>
      <c r="J21" s="91"/>
      <c r="K21" s="790"/>
      <c r="L21" s="790"/>
      <c r="M21" s="93"/>
      <c r="N21" s="5"/>
      <c r="O21" s="5"/>
      <c r="P21" s="7"/>
      <c r="Q21" s="97"/>
      <c r="R21" s="790"/>
      <c r="S21" s="93"/>
      <c r="T21" s="93"/>
      <c r="U21" s="94"/>
      <c r="V21" s="94"/>
      <c r="W21" s="94"/>
    </row>
    <row r="22" spans="1:28" ht="12" customHeight="1">
      <c r="A22" s="96" t="s">
        <v>101</v>
      </c>
      <c r="B22" s="102"/>
      <c r="C22" s="970"/>
      <c r="D22" s="970"/>
      <c r="E22" s="970"/>
      <c r="F22" s="98">
        <v>234835.23350346979</v>
      </c>
      <c r="G22" s="99">
        <v>239570.28755249322</v>
      </c>
      <c r="H22" s="99">
        <v>238774.70139291722</v>
      </c>
      <c r="I22" s="99">
        <v>248144.28336978279</v>
      </c>
      <c r="J22" s="707">
        <v>242580.60261348606</v>
      </c>
      <c r="K22" s="812">
        <v>210929.42191758478</v>
      </c>
      <c r="L22" s="652">
        <v>211662.22078103485</v>
      </c>
      <c r="M22" s="564">
        <f>K22+L22</f>
        <v>422591.64269861963</v>
      </c>
      <c r="N22" s="652">
        <v>210557.2924678316</v>
      </c>
      <c r="O22" s="652">
        <v>221852.1754897848</v>
      </c>
      <c r="P22" s="1417">
        <v>230061.31148527423</v>
      </c>
      <c r="Q22" s="97"/>
      <c r="R22" s="812">
        <v>210929.42191758478</v>
      </c>
      <c r="S22" s="490"/>
      <c r="T22" s="490"/>
      <c r="U22" s="492"/>
      <c r="V22" s="490"/>
      <c r="W22" s="491"/>
      <c r="X22" s="129"/>
      <c r="Y22" s="129"/>
      <c r="Z22" s="129"/>
      <c r="AA22" s="562"/>
      <c r="AB22" s="562"/>
    </row>
    <row r="23" spans="1:28" ht="12" customHeight="1">
      <c r="A23" s="120" t="s">
        <v>102</v>
      </c>
      <c r="B23" s="102"/>
      <c r="C23" s="970"/>
      <c r="D23" s="970"/>
      <c r="E23" s="970"/>
      <c r="F23" s="103">
        <v>10801.694038136149</v>
      </c>
      <c r="G23" s="104">
        <v>11019.486850754049</v>
      </c>
      <c r="H23" s="104">
        <v>10982.892366047055</v>
      </c>
      <c r="I23" s="104">
        <v>11413.863946228963</v>
      </c>
      <c r="J23" s="706">
        <v>11157.951964980573</v>
      </c>
      <c r="K23" s="747">
        <v>9702.096261618768</v>
      </c>
      <c r="L23" s="748">
        <v>9735.8027263165932</v>
      </c>
      <c r="M23" s="563">
        <f t="shared" ref="M23:M28" si="8">K23+L23</f>
        <v>19437.898987935361</v>
      </c>
      <c r="N23" s="748">
        <v>9684.9794662923232</v>
      </c>
      <c r="O23" s="748">
        <v>10204.508896309586</v>
      </c>
      <c r="P23" s="1416">
        <v>10582.10357669551</v>
      </c>
      <c r="Q23" s="97"/>
      <c r="R23" s="747">
        <v>9702.096261618768</v>
      </c>
      <c r="S23" s="484"/>
      <c r="T23" s="484"/>
      <c r="U23" s="486"/>
      <c r="V23" s="484"/>
      <c r="W23" s="485"/>
      <c r="X23" s="129"/>
      <c r="Y23" s="129"/>
      <c r="Z23" s="129"/>
      <c r="AA23" s="562"/>
      <c r="AB23" s="562"/>
    </row>
    <row r="24" spans="1:28" ht="12" customHeight="1">
      <c r="A24" s="120" t="s">
        <v>103</v>
      </c>
      <c r="B24" s="102"/>
      <c r="C24" s="970"/>
      <c r="D24" s="970"/>
      <c r="E24" s="970"/>
      <c r="F24" s="103">
        <v>121320.27276181207</v>
      </c>
      <c r="G24" s="104">
        <v>123766.43383053689</v>
      </c>
      <c r="H24" s="104">
        <v>123355.41933127819</v>
      </c>
      <c r="I24" s="104">
        <v>128195.91837482266</v>
      </c>
      <c r="J24" s="706">
        <v>125321.61817168273</v>
      </c>
      <c r="K24" s="747">
        <v>108970.0338359195</v>
      </c>
      <c r="L24" s="748">
        <v>109348.61125873288</v>
      </c>
      <c r="M24" s="563">
        <f t="shared" si="8"/>
        <v>218318.64509465237</v>
      </c>
      <c r="N24" s="748">
        <v>108777.78489140388</v>
      </c>
      <c r="O24" s="748">
        <v>114612.93000243491</v>
      </c>
      <c r="P24" s="1416">
        <v>118853.92122622761</v>
      </c>
      <c r="Q24" s="97"/>
      <c r="R24" s="747">
        <v>108970.0338359195</v>
      </c>
      <c r="S24" s="484"/>
      <c r="T24" s="484"/>
      <c r="U24" s="486"/>
      <c r="V24" s="484"/>
      <c r="W24" s="485"/>
      <c r="X24" s="129"/>
      <c r="Y24" s="129"/>
      <c r="Z24" s="129"/>
      <c r="AA24" s="562"/>
      <c r="AB24" s="562"/>
    </row>
    <row r="25" spans="1:28" ht="12" customHeight="1">
      <c r="A25" s="120" t="s">
        <v>104</v>
      </c>
      <c r="B25" s="102"/>
      <c r="C25" s="970"/>
      <c r="D25" s="970"/>
      <c r="E25" s="970"/>
      <c r="F25" s="103">
        <v>61837.258478508527</v>
      </c>
      <c r="G25" s="104">
        <v>63084.073135641534</v>
      </c>
      <c r="H25" s="104">
        <v>62874.577976666958</v>
      </c>
      <c r="I25" s="104">
        <v>65341.792925221293</v>
      </c>
      <c r="J25" s="706">
        <v>63876.754638047743</v>
      </c>
      <c r="K25" s="747">
        <v>55542.309585415154</v>
      </c>
      <c r="L25" s="748">
        <v>55735.271482184049</v>
      </c>
      <c r="M25" s="563">
        <f t="shared" si="8"/>
        <v>111277.58106759921</v>
      </c>
      <c r="N25" s="748">
        <v>55444.319798518009</v>
      </c>
      <c r="O25" s="748">
        <v>58418.508433906638</v>
      </c>
      <c r="P25" s="1416">
        <v>60580.152687918773</v>
      </c>
      <c r="Q25" s="97"/>
      <c r="R25" s="747">
        <v>55542.309585415154</v>
      </c>
      <c r="S25" s="484"/>
      <c r="T25" s="484"/>
      <c r="U25" s="486"/>
      <c r="V25" s="484"/>
      <c r="W25" s="485"/>
      <c r="X25" s="129"/>
      <c r="Y25" s="129"/>
      <c r="Z25" s="129"/>
      <c r="AA25" s="562"/>
      <c r="AB25" s="562"/>
    </row>
    <row r="26" spans="1:28" ht="12" customHeight="1">
      <c r="A26" s="120" t="s">
        <v>105</v>
      </c>
      <c r="B26" s="102"/>
      <c r="C26" s="970"/>
      <c r="D26" s="970"/>
      <c r="E26" s="970"/>
      <c r="F26" s="103">
        <v>71.088108476670826</v>
      </c>
      <c r="G26" s="104">
        <v>72.521446528476261</v>
      </c>
      <c r="H26" s="104">
        <v>72.280610906830802</v>
      </c>
      <c r="I26" s="104">
        <v>75.116921057272734</v>
      </c>
      <c r="J26" s="706">
        <v>73.432713134030692</v>
      </c>
      <c r="K26" s="747">
        <v>63.851435623154082</v>
      </c>
      <c r="L26" s="748">
        <v>64.073264607602653</v>
      </c>
      <c r="M26" s="563">
        <f t="shared" si="8"/>
        <v>127.92470023075674</v>
      </c>
      <c r="N26" s="748">
        <v>63.738786570270037</v>
      </c>
      <c r="O26" s="748">
        <v>67.157913639366583</v>
      </c>
      <c r="P26" s="1416">
        <v>69.642939738487613</v>
      </c>
      <c r="Q26" s="97"/>
      <c r="R26" s="747">
        <v>63.851435623154082</v>
      </c>
      <c r="S26" s="484"/>
      <c r="T26" s="484"/>
      <c r="U26" s="486"/>
      <c r="V26" s="484"/>
      <c r="W26" s="485"/>
      <c r="X26" s="129"/>
      <c r="Y26" s="129"/>
      <c r="Z26" s="129"/>
      <c r="AA26" s="562"/>
      <c r="AB26" s="562"/>
    </row>
    <row r="27" spans="1:28" ht="12" customHeight="1">
      <c r="A27" s="120" t="s">
        <v>106</v>
      </c>
      <c r="B27" s="102"/>
      <c r="C27" s="970"/>
      <c r="D27" s="970"/>
      <c r="E27" s="970"/>
      <c r="F27" s="103">
        <v>18505.838941811566</v>
      </c>
      <c r="G27" s="104">
        <v>18878.969184045905</v>
      </c>
      <c r="H27" s="104">
        <v>18816.274236590885</v>
      </c>
      <c r="I27" s="104">
        <v>19554.629778155602</v>
      </c>
      <c r="J27" s="706">
        <v>19116.192446794219</v>
      </c>
      <c r="K27" s="747">
        <v>16621.969681937953</v>
      </c>
      <c r="L27" s="748">
        <v>16679.716772791806</v>
      </c>
      <c r="M27" s="563">
        <f t="shared" si="8"/>
        <v>33301.686454729759</v>
      </c>
      <c r="N27" s="748">
        <v>16592.644591225999</v>
      </c>
      <c r="O27" s="748">
        <v>17482.720529637743</v>
      </c>
      <c r="P27" s="1416">
        <v>18129.628904920006</v>
      </c>
      <c r="Q27" s="97"/>
      <c r="R27" s="747">
        <v>16621.969681937953</v>
      </c>
      <c r="S27" s="484"/>
      <c r="T27" s="484"/>
      <c r="U27" s="486"/>
      <c r="V27" s="484"/>
      <c r="W27" s="485"/>
      <c r="X27" s="129"/>
      <c r="Y27" s="129"/>
      <c r="Z27" s="129"/>
      <c r="AA27" s="562"/>
      <c r="AB27" s="562"/>
    </row>
    <row r="28" spans="1:28" ht="12" customHeight="1">
      <c r="A28" s="120" t="s">
        <v>107</v>
      </c>
      <c r="B28" s="102"/>
      <c r="C28" s="970"/>
      <c r="D28" s="970"/>
      <c r="E28" s="970"/>
      <c r="F28" s="103"/>
      <c r="G28" s="104"/>
      <c r="H28" s="104"/>
      <c r="I28" s="104"/>
      <c r="J28" s="431"/>
      <c r="K28" s="813"/>
      <c r="L28" s="814">
        <v>0</v>
      </c>
      <c r="M28" s="563">
        <f t="shared" si="8"/>
        <v>0</v>
      </c>
      <c r="N28" s="814">
        <v>0</v>
      </c>
      <c r="O28" s="814">
        <v>0</v>
      </c>
      <c r="P28" s="1418"/>
      <c r="Q28" s="97"/>
      <c r="R28" s="813">
        <v>0</v>
      </c>
      <c r="S28" s="484"/>
      <c r="T28" s="484"/>
      <c r="U28" s="486"/>
      <c r="V28" s="484"/>
      <c r="W28" s="485"/>
      <c r="X28" s="129"/>
      <c r="Y28" s="562"/>
      <c r="Z28" s="562"/>
      <c r="AA28" s="562"/>
      <c r="AB28" s="562"/>
    </row>
    <row r="29" spans="1:28" ht="12" customHeight="1">
      <c r="A29" s="120" t="s">
        <v>108</v>
      </c>
      <c r="B29" s="102"/>
      <c r="C29" s="970"/>
      <c r="D29" s="970"/>
      <c r="E29" s="970"/>
      <c r="F29" s="493"/>
      <c r="G29" s="494"/>
      <c r="H29" s="494"/>
      <c r="I29" s="494"/>
      <c r="J29" s="948"/>
      <c r="K29" s="793"/>
      <c r="L29" s="794"/>
      <c r="M29" s="481"/>
      <c r="N29" s="482"/>
      <c r="O29" s="482"/>
      <c r="P29" s="483"/>
      <c r="Q29" s="97"/>
      <c r="R29" s="793"/>
      <c r="S29" s="482"/>
      <c r="T29" s="482"/>
      <c r="U29" s="495"/>
      <c r="V29" s="482"/>
      <c r="W29" s="483"/>
    </row>
    <row r="30" spans="1:28" ht="12" customHeight="1">
      <c r="A30" s="120" t="s">
        <v>109</v>
      </c>
      <c r="B30" s="102"/>
      <c r="C30" s="970"/>
      <c r="D30" s="970"/>
      <c r="E30" s="970"/>
      <c r="F30" s="493"/>
      <c r="G30" s="494"/>
      <c r="H30" s="494"/>
      <c r="I30" s="494"/>
      <c r="J30" s="948"/>
      <c r="K30" s="793"/>
      <c r="L30" s="794"/>
      <c r="M30" s="481"/>
      <c r="N30" s="482"/>
      <c r="O30" s="482"/>
      <c r="P30" s="483"/>
      <c r="Q30" s="97"/>
      <c r="R30" s="793"/>
      <c r="S30" s="482"/>
      <c r="T30" s="482"/>
      <c r="U30" s="495"/>
      <c r="V30" s="482"/>
      <c r="W30" s="483"/>
    </row>
    <row r="31" spans="1:28" s="112" customFormat="1" ht="12" customHeight="1">
      <c r="A31" s="130" t="s">
        <v>110</v>
      </c>
      <c r="B31" s="108"/>
      <c r="C31" s="989"/>
      <c r="D31" s="989"/>
      <c r="E31" s="989"/>
      <c r="F31" s="435">
        <f t="shared" ref="F31:J31" si="9">SUM(F22:F30)</f>
        <v>447371.38583221479</v>
      </c>
      <c r="G31" s="436">
        <f t="shared" si="9"/>
        <v>456391.77200000006</v>
      </c>
      <c r="H31" s="436">
        <f t="shared" si="9"/>
        <v>454876.14591440716</v>
      </c>
      <c r="I31" s="436">
        <f t="shared" si="9"/>
        <v>472725.60531526856</v>
      </c>
      <c r="J31" s="1030">
        <f t="shared" si="9"/>
        <v>462126.55254812544</v>
      </c>
      <c r="K31" s="737">
        <f>SUM(K22:K30)</f>
        <v>401829.68271809933</v>
      </c>
      <c r="L31" s="738">
        <f t="shared" ref="L31:P31" si="10">SUM(L22:L30)</f>
        <v>403225.69628566777</v>
      </c>
      <c r="M31" s="567">
        <f>SUM(M22:M30)</f>
        <v>805055.37900376704</v>
      </c>
      <c r="N31" s="582">
        <f>SUM(N22:N30)</f>
        <v>401120.76000184211</v>
      </c>
      <c r="O31" s="582">
        <f t="shared" si="10"/>
        <v>422638.00126571313</v>
      </c>
      <c r="P31" s="581">
        <f t="shared" si="10"/>
        <v>438276.76082077465</v>
      </c>
      <c r="Q31" s="97"/>
      <c r="R31" s="737">
        <f>SUM(R22:R30)</f>
        <v>401829.68271809933</v>
      </c>
      <c r="S31" s="110"/>
      <c r="T31" s="567"/>
      <c r="U31" s="110"/>
      <c r="V31" s="110"/>
      <c r="W31" s="219"/>
    </row>
    <row r="32" spans="1:28" ht="12" customHeight="1">
      <c r="A32" s="113" t="s">
        <v>99</v>
      </c>
      <c r="B32" s="114"/>
      <c r="C32" s="973"/>
      <c r="D32" s="973"/>
      <c r="E32" s="973"/>
      <c r="F32" s="115"/>
      <c r="G32" s="116">
        <f t="shared" ref="G32:K32" si="11">+G31/F31-1</f>
        <v>2.0163082515895159E-2</v>
      </c>
      <c r="H32" s="116">
        <f t="shared" si="11"/>
        <v>-3.320888277523304E-3</v>
      </c>
      <c r="I32" s="116">
        <f t="shared" si="11"/>
        <v>3.9240262566373696E-2</v>
      </c>
      <c r="J32" s="117">
        <f t="shared" si="11"/>
        <v>-2.2421152245549414E-2</v>
      </c>
      <c r="K32" s="739">
        <f t="shared" si="11"/>
        <v>-0.1304769645837367</v>
      </c>
      <c r="L32" s="740">
        <f t="shared" ref="L32" si="12">+L31/K31-1</f>
        <v>3.4741424728141901E-3</v>
      </c>
      <c r="M32" s="716"/>
      <c r="N32" s="584">
        <f t="shared" ref="N32" si="13">+N31/L31-1</f>
        <v>-5.220243410118397E-3</v>
      </c>
      <c r="O32" s="584">
        <f t="shared" ref="O32" si="14">+O31/N31-1</f>
        <v>5.3642801394204076E-2</v>
      </c>
      <c r="P32" s="583">
        <f t="shared" ref="P32" si="15">+P31/O31-1</f>
        <v>3.7002729305520843E-2</v>
      </c>
      <c r="Q32" s="97"/>
      <c r="R32" s="739">
        <f>+R31/J31-1</f>
        <v>-0.1304769645837367</v>
      </c>
      <c r="S32" s="116"/>
      <c r="T32" s="116"/>
      <c r="U32" s="116"/>
      <c r="V32" s="116"/>
      <c r="W32" s="117"/>
    </row>
    <row r="33" spans="1:24" ht="12" customHeight="1">
      <c r="A33" s="114"/>
      <c r="B33" s="133"/>
      <c r="C33" s="973"/>
      <c r="D33" s="973"/>
      <c r="E33" s="973"/>
      <c r="F33" s="133"/>
      <c r="G33" s="133"/>
      <c r="H33" s="133"/>
      <c r="I33" s="133"/>
      <c r="J33" s="133"/>
      <c r="K33" s="6"/>
      <c r="L33" s="6"/>
      <c r="M33" s="133"/>
      <c r="N33" s="11"/>
      <c r="O33" s="11"/>
      <c r="P33" s="11"/>
      <c r="Q33" s="97"/>
      <c r="R33" s="6"/>
      <c r="S33" s="133"/>
      <c r="T33" s="133"/>
      <c r="U33" s="119"/>
      <c r="V33" s="119"/>
      <c r="W33" s="119"/>
    </row>
    <row r="34" spans="1:24" ht="15.6" customHeight="1">
      <c r="A34" s="91" t="s">
        <v>111</v>
      </c>
      <c r="B34" s="91"/>
      <c r="C34" s="969"/>
      <c r="D34" s="969"/>
      <c r="E34" s="969"/>
      <c r="F34" s="91"/>
      <c r="G34" s="91"/>
      <c r="H34" s="91"/>
      <c r="I34" s="91"/>
      <c r="J34" s="91"/>
      <c r="K34" s="790"/>
      <c r="L34" s="790"/>
      <c r="M34" s="93"/>
      <c r="N34" s="5"/>
      <c r="O34" s="5"/>
      <c r="P34" s="7"/>
      <c r="Q34" s="97"/>
      <c r="R34" s="790"/>
      <c r="S34" s="93"/>
      <c r="T34" s="93"/>
      <c r="U34" s="93"/>
      <c r="V34" s="93"/>
      <c r="W34" s="93"/>
    </row>
    <row r="35" spans="1:24" ht="12" customHeight="1">
      <c r="A35" s="91" t="s">
        <v>112</v>
      </c>
      <c r="B35" s="91"/>
      <c r="C35" s="969"/>
      <c r="D35" s="969"/>
      <c r="E35" s="969"/>
      <c r="F35" s="91"/>
      <c r="G35" s="91"/>
      <c r="H35" s="91"/>
      <c r="I35" s="91"/>
      <c r="J35" s="91"/>
      <c r="K35" s="790"/>
      <c r="L35" s="790"/>
      <c r="M35" s="93"/>
      <c r="N35" s="790"/>
      <c r="O35" s="790"/>
      <c r="P35" s="790"/>
      <c r="Q35" s="790"/>
      <c r="R35" s="93"/>
      <c r="S35" s="93"/>
      <c r="T35" s="93"/>
      <c r="U35" s="93"/>
      <c r="V35" s="93"/>
      <c r="W35" s="93"/>
    </row>
    <row r="36" spans="1:24" s="83" customFormat="1" ht="12" customHeight="1">
      <c r="A36" s="134" t="s">
        <v>113</v>
      </c>
      <c r="B36" s="959"/>
      <c r="C36" s="971"/>
      <c r="D36" s="971"/>
      <c r="E36" s="971"/>
      <c r="F36" s="121">
        <v>195167.51066710489</v>
      </c>
      <c r="G36" s="564">
        <v>435470</v>
      </c>
      <c r="H36" s="564">
        <v>485445.01315786899</v>
      </c>
      <c r="I36" s="564">
        <v>483167.89473684219</v>
      </c>
      <c r="J36" s="707">
        <v>355265.76748653728</v>
      </c>
      <c r="K36" s="731">
        <v>516797.6510086935</v>
      </c>
      <c r="L36" s="732">
        <v>531951.31314092013</v>
      </c>
      <c r="M36" s="504"/>
      <c r="N36" s="652">
        <v>535908.46207442635</v>
      </c>
      <c r="O36" s="652">
        <v>597361.45062323031</v>
      </c>
      <c r="P36" s="1417">
        <v>676414.22965941683</v>
      </c>
      <c r="Q36" s="97">
        <v>0</v>
      </c>
      <c r="R36" s="812">
        <v>516797.6510086935</v>
      </c>
      <c r="S36" s="490"/>
      <c r="T36" s="490"/>
      <c r="U36" s="492"/>
      <c r="V36" s="490"/>
      <c r="W36" s="491"/>
      <c r="X36" s="1407"/>
    </row>
    <row r="37" spans="1:24" s="83" customFormat="1" ht="12" customHeight="1">
      <c r="A37" s="137" t="s">
        <v>114</v>
      </c>
      <c r="B37" s="959"/>
      <c r="C37" s="971"/>
      <c r="D37" s="971"/>
      <c r="E37" s="971"/>
      <c r="F37" s="125"/>
      <c r="G37" s="563"/>
      <c r="H37" s="563"/>
      <c r="I37" s="563"/>
      <c r="J37" s="706"/>
      <c r="K37" s="747">
        <v>0</v>
      </c>
      <c r="L37" s="748">
        <v>0</v>
      </c>
      <c r="M37" s="481"/>
      <c r="N37" s="748">
        <v>0</v>
      </c>
      <c r="O37" s="748">
        <v>0</v>
      </c>
      <c r="P37" s="1416">
        <v>0</v>
      </c>
      <c r="Q37" s="97"/>
      <c r="R37" s="747">
        <v>0</v>
      </c>
      <c r="S37" s="484"/>
      <c r="T37" s="484"/>
      <c r="U37" s="486"/>
      <c r="V37" s="484"/>
      <c r="W37" s="485"/>
    </row>
    <row r="38" spans="1:24" s="83" customFormat="1" ht="12" customHeight="1">
      <c r="A38" s="137" t="s">
        <v>115</v>
      </c>
      <c r="B38" s="959"/>
      <c r="C38" s="971"/>
      <c r="D38" s="971"/>
      <c r="E38" s="971"/>
      <c r="F38" s="125"/>
      <c r="G38" s="563"/>
      <c r="H38" s="563"/>
      <c r="I38" s="563"/>
      <c r="J38" s="706"/>
      <c r="K38" s="747">
        <v>0</v>
      </c>
      <c r="L38" s="748">
        <v>0</v>
      </c>
      <c r="M38" s="481"/>
      <c r="N38" s="748">
        <v>0</v>
      </c>
      <c r="O38" s="748">
        <v>0</v>
      </c>
      <c r="P38" s="1416">
        <v>0</v>
      </c>
      <c r="Q38" s="97"/>
      <c r="R38" s="747">
        <v>0</v>
      </c>
      <c r="S38" s="484"/>
      <c r="T38" s="484"/>
      <c r="U38" s="486"/>
      <c r="V38" s="484"/>
      <c r="W38" s="485"/>
    </row>
    <row r="39" spans="1:24" s="83" customFormat="1" ht="12" customHeight="1">
      <c r="A39" s="138" t="s">
        <v>116</v>
      </c>
      <c r="B39" s="959"/>
      <c r="C39" s="972"/>
      <c r="D39" s="972"/>
      <c r="E39" s="972"/>
      <c r="F39" s="175">
        <f t="shared" ref="F39:P39" si="16">SUM(F36:F38)</f>
        <v>195167.51066710489</v>
      </c>
      <c r="G39" s="176">
        <f t="shared" si="16"/>
        <v>435470</v>
      </c>
      <c r="H39" s="176">
        <f t="shared" si="16"/>
        <v>485445.01315786899</v>
      </c>
      <c r="I39" s="176">
        <f t="shared" si="16"/>
        <v>483167.89473684219</v>
      </c>
      <c r="J39" s="220">
        <f t="shared" si="16"/>
        <v>355265.76748653728</v>
      </c>
      <c r="K39" s="754">
        <f t="shared" si="16"/>
        <v>516797.6510086935</v>
      </c>
      <c r="L39" s="755">
        <f t="shared" si="16"/>
        <v>531951.31314092013</v>
      </c>
      <c r="M39" s="717"/>
      <c r="N39" s="607">
        <f t="shared" si="16"/>
        <v>535908.46207442635</v>
      </c>
      <c r="O39" s="607">
        <f t="shared" si="16"/>
        <v>597361.45062323031</v>
      </c>
      <c r="P39" s="608">
        <f t="shared" si="16"/>
        <v>676414.22965941683</v>
      </c>
      <c r="Q39" s="97"/>
      <c r="R39" s="754">
        <f t="shared" ref="R39" si="17">SUM(R36:R38)</f>
        <v>516797.6510086935</v>
      </c>
      <c r="S39" s="176"/>
      <c r="T39" s="176"/>
      <c r="U39" s="176"/>
      <c r="V39" s="176"/>
      <c r="W39" s="220"/>
    </row>
    <row r="40" spans="1:24" ht="12" customHeight="1">
      <c r="A40" s="91" t="s">
        <v>117</v>
      </c>
      <c r="B40" s="91"/>
      <c r="C40" s="969"/>
      <c r="D40" s="969"/>
      <c r="E40" s="969"/>
      <c r="F40" s="91"/>
      <c r="G40" s="91"/>
      <c r="H40" s="91"/>
      <c r="I40" s="91"/>
      <c r="J40" s="91"/>
      <c r="K40" s="795"/>
      <c r="L40" s="795"/>
      <c r="M40" s="142"/>
      <c r="N40" s="9"/>
      <c r="O40" s="9"/>
      <c r="P40" s="9"/>
      <c r="Q40" s="97"/>
      <c r="R40" s="795"/>
      <c r="S40" s="142"/>
      <c r="T40" s="142"/>
      <c r="U40" s="143"/>
      <c r="V40" s="143"/>
      <c r="W40" s="143"/>
    </row>
    <row r="41" spans="1:24" s="83" customFormat="1" ht="12" customHeight="1">
      <c r="A41" s="144" t="s">
        <v>118</v>
      </c>
      <c r="B41" s="959"/>
      <c r="C41" s="975"/>
      <c r="D41" s="975"/>
      <c r="E41" s="975"/>
      <c r="F41" s="995">
        <f>F16/F39</f>
        <v>7.5999999999999998E-2</v>
      </c>
      <c r="G41" s="145">
        <f t="shared" ref="G41:P41" si="18">G16/G39</f>
        <v>7.5999497592995791E-2</v>
      </c>
      <c r="H41" s="145">
        <f t="shared" si="18"/>
        <v>7.6003802973323653E-2</v>
      </c>
      <c r="I41" s="145">
        <f t="shared" si="18"/>
        <v>7.5999999999999984E-2</v>
      </c>
      <c r="J41" s="998">
        <f t="shared" si="18"/>
        <v>7.5999999999999998E-2</v>
      </c>
      <c r="K41" s="757">
        <v>5.8500000000000003E-2</v>
      </c>
      <c r="L41" s="758">
        <v>5.8500000000000003E-2</v>
      </c>
      <c r="M41" s="504"/>
      <c r="N41" s="758">
        <f>N16/N39</f>
        <v>5.850000000000001E-2</v>
      </c>
      <c r="O41" s="758">
        <f t="shared" si="18"/>
        <v>5.8500000000000003E-2</v>
      </c>
      <c r="P41" s="1419">
        <f t="shared" si="18"/>
        <v>5.8500000000000003E-2</v>
      </c>
      <c r="Q41" s="1420"/>
      <c r="R41" s="757">
        <f t="shared" ref="R41" si="19">R16/R39</f>
        <v>5.8500000000000003E-2</v>
      </c>
      <c r="S41" s="145"/>
      <c r="T41" s="145"/>
      <c r="U41" s="496"/>
      <c r="V41" s="146"/>
      <c r="W41" s="147"/>
    </row>
    <row r="42" spans="1:24" s="83" customFormat="1" ht="12" customHeight="1">
      <c r="A42" s="148" t="s">
        <v>119</v>
      </c>
      <c r="B42" s="959"/>
      <c r="C42" s="975"/>
      <c r="D42" s="975"/>
      <c r="E42" s="975"/>
      <c r="F42" s="149">
        <v>0.10897431506849316</v>
      </c>
      <c r="G42" s="566">
        <v>0.10897431506849316</v>
      </c>
      <c r="H42" s="566">
        <v>0.10897431506849316</v>
      </c>
      <c r="I42" s="566">
        <v>0.10897431506849316</v>
      </c>
      <c r="J42" s="996">
        <v>0.10897431506849316</v>
      </c>
      <c r="K42" s="759">
        <v>0.10199999999999999</v>
      </c>
      <c r="L42" s="760">
        <v>0.10199999999999999</v>
      </c>
      <c r="M42" s="481"/>
      <c r="N42" s="760">
        <v>0.10199999999999999</v>
      </c>
      <c r="O42" s="760">
        <v>0.10199999999999999</v>
      </c>
      <c r="P42" s="1431">
        <v>0.10199999999999999</v>
      </c>
      <c r="Q42" s="1420"/>
      <c r="R42" s="759">
        <v>0.10199999999999999</v>
      </c>
      <c r="S42" s="497"/>
      <c r="T42" s="497"/>
      <c r="U42" s="498"/>
      <c r="V42" s="151"/>
      <c r="W42" s="152"/>
    </row>
    <row r="43" spans="1:24" s="83" customFormat="1" ht="12" customHeight="1">
      <c r="A43" s="148" t="s">
        <v>120</v>
      </c>
      <c r="B43" s="959"/>
      <c r="C43" s="975"/>
      <c r="D43" s="975"/>
      <c r="E43" s="975"/>
      <c r="F43" s="149">
        <v>5.3800000000000001E-2</v>
      </c>
      <c r="G43" s="566">
        <v>5.3800000000000001E-2</v>
      </c>
      <c r="H43" s="566">
        <v>5.3800000000000001E-2</v>
      </c>
      <c r="I43" s="566">
        <v>5.3999999999999999E-2</v>
      </c>
      <c r="J43" s="996">
        <v>5.3999999999999999E-2</v>
      </c>
      <c r="K43" s="1430">
        <v>2.9499999999999998E-2</v>
      </c>
      <c r="L43" s="1430">
        <v>2.9499999999999998E-2</v>
      </c>
      <c r="M43" s="481"/>
      <c r="N43" s="760">
        <v>2.9499999999999998E-2</v>
      </c>
      <c r="O43" s="760">
        <v>2.9499999999999998E-2</v>
      </c>
      <c r="P43" s="1431">
        <v>2.9499999999999998E-2</v>
      </c>
      <c r="Q43" s="1420"/>
      <c r="R43" s="759">
        <v>2.9499999999999998E-2</v>
      </c>
      <c r="S43" s="497"/>
      <c r="T43" s="497"/>
      <c r="U43" s="498"/>
      <c r="V43" s="151"/>
      <c r="W43" s="152"/>
    </row>
    <row r="44" spans="1:24" s="83" customFormat="1" ht="12" customHeight="1">
      <c r="A44" s="153" t="s">
        <v>121</v>
      </c>
      <c r="B44" s="959"/>
      <c r="C44" s="975"/>
      <c r="D44" s="975"/>
      <c r="E44" s="975"/>
      <c r="F44" s="154">
        <v>0.40236113438727816</v>
      </c>
      <c r="G44" s="568">
        <v>0.40236150353622646</v>
      </c>
      <c r="H44" s="568">
        <v>0.40243006090351913</v>
      </c>
      <c r="I44" s="568">
        <v>0.4</v>
      </c>
      <c r="J44" s="997">
        <v>0.4</v>
      </c>
      <c r="K44" s="761">
        <v>0.4</v>
      </c>
      <c r="L44" s="762">
        <v>0.4</v>
      </c>
      <c r="M44" s="717"/>
      <c r="N44" s="762">
        <v>0.4</v>
      </c>
      <c r="O44" s="762">
        <v>0.4</v>
      </c>
      <c r="P44" s="1421">
        <v>0.4</v>
      </c>
      <c r="Q44" s="1420"/>
      <c r="R44" s="761">
        <v>0.4</v>
      </c>
      <c r="S44" s="499"/>
      <c r="T44" s="499"/>
      <c r="U44" s="500"/>
      <c r="V44" s="569"/>
      <c r="W44" s="158"/>
    </row>
    <row r="45" spans="1:24" s="83" customFormat="1" ht="5.65" customHeight="1">
      <c r="A45" s="93"/>
      <c r="B45" s="79"/>
      <c r="C45" s="963"/>
      <c r="D45" s="963"/>
      <c r="E45" s="963"/>
      <c r="F45" s="79"/>
      <c r="G45" s="79"/>
      <c r="H45" s="79"/>
      <c r="I45" s="79"/>
      <c r="J45" s="79"/>
      <c r="K45" s="796"/>
      <c r="L45" s="796"/>
      <c r="M45" s="159"/>
      <c r="N45" s="3"/>
      <c r="O45" s="3"/>
      <c r="P45" s="3"/>
      <c r="Q45" s="97"/>
      <c r="R45" s="796"/>
      <c r="S45" s="159"/>
      <c r="T45" s="159"/>
      <c r="U45" s="501"/>
      <c r="V45" s="161"/>
      <c r="W45" s="161"/>
    </row>
    <row r="46" spans="1:24" s="451" customFormat="1" ht="12" customHeight="1">
      <c r="A46" s="162" t="s">
        <v>122</v>
      </c>
      <c r="B46" s="79"/>
      <c r="C46" s="990"/>
      <c r="D46" s="963"/>
      <c r="E46" s="963"/>
      <c r="F46" s="79"/>
      <c r="G46" s="79"/>
      <c r="H46" s="79"/>
      <c r="I46" s="79"/>
      <c r="J46" s="79"/>
      <c r="K46" s="797"/>
      <c r="L46" s="797"/>
      <c r="M46" s="118"/>
      <c r="N46" s="13"/>
      <c r="O46" s="13"/>
      <c r="P46" s="13"/>
      <c r="Q46" s="97"/>
      <c r="R46" s="797"/>
      <c r="S46" s="118"/>
      <c r="T46" s="118"/>
      <c r="U46" s="449"/>
      <c r="V46" s="449"/>
      <c r="W46" s="449"/>
    </row>
    <row r="47" spans="1:24" s="450" customFormat="1" ht="12" customHeight="1">
      <c r="A47" s="163" t="s">
        <v>123</v>
      </c>
      <c r="B47" s="960"/>
      <c r="C47" s="976"/>
      <c r="D47" s="976"/>
      <c r="E47" s="976"/>
      <c r="F47" s="999"/>
      <c r="G47" s="165"/>
      <c r="H47" s="165"/>
      <c r="I47" s="165"/>
      <c r="J47" s="1000"/>
      <c r="K47" s="933">
        <v>0</v>
      </c>
      <c r="L47" s="934">
        <v>0</v>
      </c>
      <c r="M47" s="165">
        <f>K47+L47</f>
        <v>0</v>
      </c>
      <c r="N47" s="935">
        <v>0</v>
      </c>
      <c r="O47" s="935">
        <v>0</v>
      </c>
      <c r="P47" s="936">
        <v>0</v>
      </c>
      <c r="Q47" s="97"/>
      <c r="R47" s="933">
        <v>0</v>
      </c>
      <c r="S47" s="937"/>
      <c r="T47" s="502"/>
      <c r="U47" s="503"/>
      <c r="V47" s="452"/>
      <c r="W47" s="453"/>
    </row>
    <row r="48" spans="1:24" s="83" customFormat="1" ht="5.65" customHeight="1">
      <c r="A48" s="93"/>
      <c r="B48" s="79"/>
      <c r="C48" s="963"/>
      <c r="D48" s="963"/>
      <c r="E48" s="963"/>
      <c r="F48" s="79"/>
      <c r="G48" s="79"/>
      <c r="H48" s="79"/>
      <c r="I48" s="79"/>
      <c r="J48" s="79"/>
      <c r="K48" s="815"/>
      <c r="L48" s="815"/>
      <c r="M48" s="159"/>
      <c r="N48" s="644"/>
      <c r="O48" s="644"/>
      <c r="P48" s="644"/>
      <c r="Q48" s="97"/>
      <c r="R48" s="815"/>
      <c r="S48" s="159"/>
      <c r="T48" s="159"/>
      <c r="U48" s="160"/>
      <c r="V48" s="161"/>
      <c r="W48" s="161"/>
    </row>
    <row r="49" spans="1:23" s="459" customFormat="1" ht="12" customHeight="1">
      <c r="A49" s="166" t="s">
        <v>124</v>
      </c>
      <c r="B49" s="75"/>
      <c r="C49" s="963"/>
      <c r="D49" s="963"/>
      <c r="E49" s="963"/>
      <c r="F49" s="75"/>
      <c r="G49" s="75"/>
      <c r="H49" s="75"/>
      <c r="I49" s="75"/>
      <c r="J49" s="75"/>
      <c r="K49" s="798"/>
      <c r="L49" s="798"/>
      <c r="M49" s="167"/>
      <c r="N49" s="14"/>
      <c r="O49" s="14"/>
      <c r="P49" s="14"/>
      <c r="Q49" s="97"/>
      <c r="R49" s="798"/>
      <c r="S49" s="167"/>
      <c r="T49" s="167"/>
      <c r="U49" s="462"/>
      <c r="V49" s="462"/>
      <c r="W49" s="462"/>
    </row>
    <row r="50" spans="1:23" s="83" customFormat="1" ht="12" customHeight="1">
      <c r="A50" s="134" t="s">
        <v>125</v>
      </c>
      <c r="B50" s="959"/>
      <c r="C50" s="971"/>
      <c r="D50" s="971"/>
      <c r="E50" s="971"/>
      <c r="F50" s="523"/>
      <c r="G50" s="504"/>
      <c r="H50" s="504"/>
      <c r="I50" s="504"/>
      <c r="J50" s="956"/>
      <c r="K50" s="1156">
        <f>K15</f>
        <v>39813.826957656034</v>
      </c>
      <c r="L50" s="652">
        <f>L15</f>
        <v>37238.779626385847</v>
      </c>
      <c r="M50" s="564">
        <f>K50+L50</f>
        <v>77052.606584041874</v>
      </c>
      <c r="N50" s="652">
        <f>N15</f>
        <v>35699.479020446444</v>
      </c>
      <c r="O50" s="652">
        <f t="shared" ref="O50:P50" si="20">O15</f>
        <v>38376.535426039904</v>
      </c>
      <c r="P50" s="1417">
        <f t="shared" si="20"/>
        <v>38244.631497186485</v>
      </c>
      <c r="Q50" s="1156"/>
      <c r="R50" s="812">
        <f>R15</f>
        <v>39813.826957656034</v>
      </c>
      <c r="S50" s="564"/>
      <c r="T50" s="564"/>
      <c r="U50" s="505"/>
      <c r="V50" s="135"/>
      <c r="W50" s="136"/>
    </row>
    <row r="51" spans="1:23" s="83" customFormat="1" ht="12" customHeight="1">
      <c r="A51" s="137" t="s">
        <v>126</v>
      </c>
      <c r="B51" s="959"/>
      <c r="C51" s="971"/>
      <c r="D51" s="971"/>
      <c r="E51" s="971"/>
      <c r="F51" s="480"/>
      <c r="G51" s="481"/>
      <c r="H51" s="481"/>
      <c r="I51" s="481"/>
      <c r="J51" s="708"/>
      <c r="K51" s="1157">
        <f>+K36*K41</f>
        <v>30232.662584008573</v>
      </c>
      <c r="L51" s="748">
        <f>+L36*L41</f>
        <v>31119.151818743831</v>
      </c>
      <c r="M51" s="563">
        <f>K51+L51</f>
        <v>61351.814402752403</v>
      </c>
      <c r="N51" s="748">
        <f>+N36*N41</f>
        <v>31350.645031353946</v>
      </c>
      <c r="O51" s="748">
        <f t="shared" ref="O51:R51" si="21">+O36*O41</f>
        <v>34945.644861458975</v>
      </c>
      <c r="P51" s="1416">
        <f t="shared" si="21"/>
        <v>39570.232435075886</v>
      </c>
      <c r="Q51" s="1157"/>
      <c r="R51" s="747">
        <f t="shared" si="21"/>
        <v>30232.662584008573</v>
      </c>
      <c r="S51" s="563"/>
      <c r="T51" s="563"/>
      <c r="U51" s="507"/>
      <c r="V51" s="127"/>
      <c r="W51" s="128"/>
    </row>
    <row r="52" spans="1:23" s="83" customFormat="1" ht="12" customHeight="1">
      <c r="A52" s="153" t="s">
        <v>127</v>
      </c>
      <c r="B52" s="959"/>
      <c r="C52" s="975"/>
      <c r="D52" s="975"/>
      <c r="E52" s="975"/>
      <c r="F52" s="444"/>
      <c r="G52" s="445"/>
      <c r="H52" s="445"/>
      <c r="I52" s="445"/>
      <c r="J52" s="1022"/>
      <c r="K52" s="1158">
        <v>0</v>
      </c>
      <c r="L52" s="817">
        <v>0</v>
      </c>
      <c r="M52" s="139">
        <f>K52+L52</f>
        <v>0</v>
      </c>
      <c r="N52" s="817">
        <v>0</v>
      </c>
      <c r="O52" s="817">
        <v>0</v>
      </c>
      <c r="P52" s="1422">
        <v>0</v>
      </c>
      <c r="Q52" s="1158"/>
      <c r="R52" s="816">
        <v>0</v>
      </c>
      <c r="S52" s="139"/>
      <c r="T52" s="139"/>
      <c r="U52" s="508"/>
      <c r="V52" s="157"/>
      <c r="W52" s="158"/>
    </row>
    <row r="53" spans="1:23" s="83" customFormat="1" ht="5.65" customHeight="1">
      <c r="A53" s="93"/>
      <c r="B53" s="79"/>
      <c r="C53" s="963"/>
      <c r="D53" s="963"/>
      <c r="E53" s="963"/>
      <c r="F53" s="79"/>
      <c r="G53" s="79"/>
      <c r="H53" s="79"/>
      <c r="I53" s="79"/>
      <c r="J53" s="79"/>
      <c r="K53" s="796"/>
      <c r="L53" s="796"/>
      <c r="M53" s="159"/>
      <c r="N53" s="3"/>
      <c r="O53" s="3"/>
      <c r="P53" s="3"/>
      <c r="Q53" s="97"/>
      <c r="R53" s="796"/>
      <c r="S53" s="159"/>
      <c r="T53" s="159"/>
      <c r="U53" s="160"/>
      <c r="V53" s="161"/>
      <c r="W53" s="161"/>
    </row>
    <row r="54" spans="1:23" s="459" customFormat="1" ht="12" customHeight="1">
      <c r="A54" s="166" t="s">
        <v>128</v>
      </c>
      <c r="B54" s="75"/>
      <c r="C54" s="963"/>
      <c r="D54" s="963"/>
      <c r="E54" s="963"/>
      <c r="F54" s="75"/>
      <c r="G54" s="75"/>
      <c r="H54" s="75"/>
      <c r="I54" s="75"/>
      <c r="J54" s="75"/>
      <c r="K54" s="798"/>
      <c r="L54" s="798"/>
      <c r="M54" s="167"/>
      <c r="N54" s="14"/>
      <c r="O54" s="14"/>
      <c r="P54" s="14"/>
      <c r="Q54" s="97"/>
      <c r="R54" s="798"/>
      <c r="S54" s="167"/>
      <c r="T54" s="167"/>
      <c r="U54" s="462"/>
      <c r="V54" s="462"/>
      <c r="W54" s="462"/>
    </row>
    <row r="55" spans="1:23" s="463" customFormat="1" ht="12" customHeight="1">
      <c r="A55" s="169" t="s">
        <v>129</v>
      </c>
      <c r="B55" s="960"/>
      <c r="C55" s="976"/>
      <c r="D55" s="976"/>
      <c r="E55" s="976"/>
      <c r="F55" s="1001"/>
      <c r="G55" s="509"/>
      <c r="H55" s="509"/>
      <c r="I55" s="509"/>
      <c r="J55" s="1029"/>
      <c r="K55" s="799"/>
      <c r="L55" s="800"/>
      <c r="M55" s="509"/>
      <c r="N55" s="8"/>
      <c r="O55" s="8"/>
      <c r="P55" s="10"/>
      <c r="Q55" s="97"/>
      <c r="R55" s="799"/>
      <c r="S55" s="509"/>
      <c r="T55" s="509"/>
      <c r="U55" s="511"/>
      <c r="V55" s="511"/>
      <c r="W55" s="512"/>
    </row>
    <row r="56" spans="1:23" s="83" customFormat="1" ht="12" customHeight="1">
      <c r="A56" s="137" t="s">
        <v>130</v>
      </c>
      <c r="B56" s="959"/>
      <c r="C56" s="971"/>
      <c r="D56" s="971"/>
      <c r="E56" s="971"/>
      <c r="F56" s="480"/>
      <c r="G56" s="481"/>
      <c r="H56" s="481"/>
      <c r="I56" s="481"/>
      <c r="J56" s="708"/>
      <c r="K56" s="793"/>
      <c r="L56" s="794"/>
      <c r="M56" s="481"/>
      <c r="N56" s="482"/>
      <c r="O56" s="482"/>
      <c r="P56" s="483"/>
      <c r="Q56" s="97"/>
      <c r="R56" s="793"/>
      <c r="S56" s="481"/>
      <c r="T56" s="481"/>
      <c r="U56" s="513"/>
      <c r="V56" s="513"/>
      <c r="W56" s="514"/>
    </row>
    <row r="57" spans="1:23" s="83" customFormat="1" ht="12" customHeight="1">
      <c r="A57" s="153" t="s">
        <v>131</v>
      </c>
      <c r="B57" s="959"/>
      <c r="C57" s="975"/>
      <c r="D57" s="975"/>
      <c r="E57" s="975"/>
      <c r="F57" s="444"/>
      <c r="G57" s="445"/>
      <c r="H57" s="445"/>
      <c r="I57" s="445"/>
      <c r="J57" s="1022"/>
      <c r="K57" s="801"/>
      <c r="L57" s="802"/>
      <c r="M57" s="445"/>
      <c r="N57" s="443"/>
      <c r="O57" s="443"/>
      <c r="P57" s="4"/>
      <c r="Q57" s="97"/>
      <c r="R57" s="801"/>
      <c r="S57" s="445"/>
      <c r="T57" s="445"/>
      <c r="U57" s="446"/>
      <c r="V57" s="447"/>
      <c r="W57" s="448"/>
    </row>
    <row r="58" spans="1:23" ht="12" customHeight="1">
      <c r="A58" s="170"/>
      <c r="B58" s="171"/>
      <c r="C58" s="978"/>
      <c r="D58" s="978"/>
      <c r="E58" s="978"/>
      <c r="F58" s="171"/>
      <c r="G58" s="171"/>
      <c r="H58" s="171"/>
      <c r="I58" s="171"/>
      <c r="J58" s="171"/>
      <c r="K58" s="803"/>
      <c r="L58" s="803"/>
      <c r="M58" s="172"/>
      <c r="N58" s="12"/>
      <c r="O58" s="12"/>
      <c r="P58" s="12"/>
      <c r="Q58" s="97"/>
      <c r="R58" s="803"/>
      <c r="S58" s="172"/>
      <c r="T58" s="172"/>
      <c r="U58" s="467"/>
      <c r="V58" s="467"/>
      <c r="W58" s="467"/>
    </row>
    <row r="59" spans="1:23" ht="15.6" customHeight="1">
      <c r="A59" s="91" t="s">
        <v>132</v>
      </c>
      <c r="B59" s="91"/>
      <c r="C59" s="969"/>
      <c r="D59" s="969"/>
      <c r="E59" s="969"/>
      <c r="F59" s="91"/>
      <c r="G59" s="91"/>
      <c r="H59" s="91"/>
      <c r="I59" s="91"/>
      <c r="J59" s="1413"/>
      <c r="K59" s="1413"/>
      <c r="L59" s="790"/>
      <c r="M59" s="93"/>
      <c r="N59" s="5"/>
      <c r="O59" s="5"/>
      <c r="P59" s="7"/>
      <c r="Q59" s="97"/>
      <c r="R59" s="790"/>
      <c r="S59" s="93"/>
      <c r="T59" s="93"/>
      <c r="U59" s="94"/>
      <c r="V59" s="94"/>
      <c r="W59" s="94"/>
    </row>
    <row r="60" spans="1:23" ht="12" customHeight="1">
      <c r="A60" s="173" t="s">
        <v>133</v>
      </c>
      <c r="B60" s="959"/>
      <c r="C60" s="971"/>
      <c r="D60" s="971"/>
      <c r="E60" s="971"/>
      <c r="F60" s="121">
        <v>1118.4284645805367</v>
      </c>
      <c r="G60" s="564">
        <v>1140.9794300000001</v>
      </c>
      <c r="H60" s="564">
        <v>1137.1903647860179</v>
      </c>
      <c r="I60" s="564">
        <v>1181.8140132881715</v>
      </c>
      <c r="J60" s="707">
        <v>1155.3163813703136</v>
      </c>
      <c r="K60" s="812">
        <f>K31*0.25%</f>
        <v>1004.5742067952483</v>
      </c>
      <c r="L60" s="812">
        <f>L31*0.25%</f>
        <v>1008.0642407141695</v>
      </c>
      <c r="M60" s="564">
        <f>K60+L60</f>
        <v>2012.6384475094178</v>
      </c>
      <c r="N60" s="812">
        <f>N31*0.25%</f>
        <v>1002.8019000046053</v>
      </c>
      <c r="O60" s="812">
        <f>O31*0.25%</f>
        <v>1056.5950031642828</v>
      </c>
      <c r="P60" s="812">
        <f>P31*0.25%</f>
        <v>1095.6919020519367</v>
      </c>
      <c r="Q60" s="97"/>
      <c r="R60" s="812">
        <f>R31*0.25%</f>
        <v>1004.5742067952483</v>
      </c>
      <c r="S60" s="490"/>
      <c r="T60" s="490"/>
      <c r="U60" s="515"/>
      <c r="V60" s="123"/>
      <c r="W60" s="124"/>
    </row>
    <row r="61" spans="1:23" s="112" customFormat="1" ht="12" customHeight="1">
      <c r="A61" s="174" t="s">
        <v>134</v>
      </c>
      <c r="B61" s="961"/>
      <c r="C61" s="972"/>
      <c r="D61" s="972"/>
      <c r="E61" s="972"/>
      <c r="F61" s="175">
        <f t="shared" ref="F61:J61" si="22">F18-F60</f>
        <v>446252.95736763411</v>
      </c>
      <c r="G61" s="176">
        <f t="shared" si="22"/>
        <v>455250.79257000005</v>
      </c>
      <c r="H61" s="176">
        <f t="shared" si="22"/>
        <v>453738.95554962114</v>
      </c>
      <c r="I61" s="176">
        <f t="shared" si="22"/>
        <v>471543.79130198044</v>
      </c>
      <c r="J61" s="220">
        <f t="shared" si="22"/>
        <v>460971.23616675509</v>
      </c>
      <c r="K61" s="754">
        <f>K18-K60</f>
        <v>400825.10851130402</v>
      </c>
      <c r="L61" s="755">
        <f t="shared" ref="L61:P61" si="23">L18-L60</f>
        <v>402217.63204495353</v>
      </c>
      <c r="M61" s="176">
        <f>M18-M60</f>
        <v>803042.74055625754</v>
      </c>
      <c r="N61" s="607">
        <f t="shared" si="23"/>
        <v>400117.95810183743</v>
      </c>
      <c r="O61" s="607">
        <f t="shared" si="23"/>
        <v>421581.40626254876</v>
      </c>
      <c r="P61" s="608">
        <f t="shared" si="23"/>
        <v>437181.06891872274</v>
      </c>
      <c r="Q61" s="97"/>
      <c r="R61" s="754">
        <f>R18-R60</f>
        <v>400825.10851130402</v>
      </c>
      <c r="S61" s="176"/>
      <c r="T61" s="176"/>
      <c r="U61" s="468"/>
      <c r="V61" s="177"/>
      <c r="W61" s="178"/>
    </row>
    <row r="62" spans="1:23" s="179" customFormat="1" ht="12" customHeight="1">
      <c r="A62" s="93"/>
      <c r="B62" s="79"/>
      <c r="C62" s="963"/>
      <c r="D62" s="963"/>
      <c r="E62" s="963"/>
      <c r="F62" s="79"/>
      <c r="G62" s="79"/>
      <c r="H62" s="79"/>
      <c r="I62" s="79"/>
      <c r="J62" s="1411"/>
      <c r="K62" s="1411"/>
      <c r="L62" s="1411"/>
      <c r="M62" s="217"/>
      <c r="N62" s="1411"/>
      <c r="O62" s="1411"/>
      <c r="P62" s="1411"/>
      <c r="Q62" s="97"/>
      <c r="R62" s="1411"/>
      <c r="S62" s="217"/>
      <c r="T62" s="217"/>
      <c r="U62" s="218"/>
      <c r="V62" s="218"/>
      <c r="W62" s="218"/>
    </row>
    <row r="63" spans="1:23" ht="15.6" customHeight="1">
      <c r="A63" s="91" t="s">
        <v>135</v>
      </c>
      <c r="B63" s="91"/>
      <c r="C63" s="969"/>
      <c r="D63" s="969"/>
      <c r="E63" s="969"/>
      <c r="F63" s="91"/>
      <c r="G63" s="91"/>
      <c r="H63" s="91"/>
      <c r="I63" s="91"/>
      <c r="J63" s="1412"/>
      <c r="K63" s="1412"/>
      <c r="L63" s="1412"/>
      <c r="M63" s="93"/>
      <c r="N63" s="1412"/>
      <c r="O63" s="1412"/>
      <c r="P63" s="1412"/>
      <c r="Q63" s="97"/>
      <c r="R63" s="1412"/>
      <c r="S63" s="93"/>
      <c r="T63" s="93"/>
      <c r="U63" s="94"/>
      <c r="V63" s="94"/>
      <c r="W63" s="94"/>
    </row>
    <row r="64" spans="1:23" s="184" customFormat="1" ht="12" customHeight="1">
      <c r="A64" s="134" t="s">
        <v>136</v>
      </c>
      <c r="B64" s="79"/>
      <c r="C64" s="979"/>
      <c r="D64" s="979"/>
      <c r="E64" s="979"/>
      <c r="F64" s="180">
        <f>'T1'!F64</f>
        <v>0.02</v>
      </c>
      <c r="G64" s="181">
        <f>'T1'!G64</f>
        <v>3.9E-2</v>
      </c>
      <c r="H64" s="181">
        <f>'T1'!H64</f>
        <v>1.9E-2</v>
      </c>
      <c r="I64" s="181">
        <f>'T1'!I64</f>
        <v>0.03</v>
      </c>
      <c r="J64" s="927">
        <f>'T1'!J64</f>
        <v>2.3E-2</v>
      </c>
      <c r="K64" s="807">
        <f>'T1'!K64</f>
        <v>1.2E-2</v>
      </c>
      <c r="L64" s="808">
        <f>'T1'!L64</f>
        <v>2.1999999999999999E-2</v>
      </c>
      <c r="M64" s="533"/>
      <c r="N64" s="610">
        <f>'T1'!N64</f>
        <v>0.02</v>
      </c>
      <c r="O64" s="610">
        <f>'T1'!O64</f>
        <v>0.02</v>
      </c>
      <c r="P64" s="609">
        <f>'T1'!P64</f>
        <v>0.02</v>
      </c>
      <c r="Q64" s="97"/>
      <c r="R64" s="807">
        <f>'T1'!R64</f>
        <v>1.2E-2</v>
      </c>
      <c r="S64" s="808"/>
      <c r="T64" s="808"/>
      <c r="U64" s="610"/>
      <c r="V64" s="610"/>
      <c r="W64" s="609"/>
    </row>
    <row r="65" spans="1:23" s="179" customFormat="1" ht="12" customHeight="1">
      <c r="A65" s="137" t="s">
        <v>137</v>
      </c>
      <c r="B65" s="79"/>
      <c r="C65" s="980"/>
      <c r="D65" s="980"/>
      <c r="E65" s="980"/>
      <c r="F65" s="185">
        <f>'T1'!F65</f>
        <v>94.45180643802405</v>
      </c>
      <c r="G65" s="570">
        <f>'T1'!G65</f>
        <v>98.135426889106981</v>
      </c>
      <c r="H65" s="570">
        <f>'T1'!H65</f>
        <v>100</v>
      </c>
      <c r="I65" s="570">
        <f>'T1'!I65</f>
        <v>103</v>
      </c>
      <c r="J65" s="928">
        <f>'T1'!J65</f>
        <v>105.36899999999999</v>
      </c>
      <c r="K65" s="809">
        <f>'T1'!K65</f>
        <v>106.63342799999998</v>
      </c>
      <c r="L65" s="810">
        <f>'T1'!L65</f>
        <v>108.97936341599998</v>
      </c>
      <c r="M65" s="536"/>
      <c r="N65" s="612">
        <f>'T1'!N65</f>
        <v>111.15895068431999</v>
      </c>
      <c r="O65" s="612">
        <f>'T1'!O65</f>
        <v>113.38212969800639</v>
      </c>
      <c r="P65" s="611">
        <f>'T1'!P65</f>
        <v>115.64977229196653</v>
      </c>
      <c r="Q65" s="97"/>
      <c r="R65" s="809">
        <f>'T1'!R65</f>
        <v>106.63342799999998</v>
      </c>
      <c r="S65" s="810"/>
      <c r="T65" s="810"/>
      <c r="U65" s="612"/>
      <c r="V65" s="612"/>
      <c r="W65" s="611"/>
    </row>
    <row r="66" spans="1:23" s="179" customFormat="1" ht="12" customHeight="1">
      <c r="A66" s="188" t="s">
        <v>138</v>
      </c>
      <c r="B66" s="189"/>
      <c r="C66" s="972"/>
      <c r="D66" s="972"/>
      <c r="E66" s="972"/>
      <c r="F66" s="109">
        <f t="shared" ref="F66:K66" si="24">((F61-F15-F16)/(F65/100))+F15+F16</f>
        <v>470406.36823105015</v>
      </c>
      <c r="G66" s="567">
        <f t="shared" si="24"/>
        <v>462499.67860104039</v>
      </c>
      <c r="H66" s="567">
        <f t="shared" si="24"/>
        <v>453738.95554962114</v>
      </c>
      <c r="I66" s="567">
        <f t="shared" si="24"/>
        <v>460309.8530601752</v>
      </c>
      <c r="J66" s="219">
        <f t="shared" si="24"/>
        <v>440451.89039265446</v>
      </c>
      <c r="K66" s="737">
        <f t="shared" si="24"/>
        <v>380248.10752738622</v>
      </c>
      <c r="L66" s="738">
        <f t="shared" ref="L66:P66" si="25">((L61-L15-L16)/(L65/100))+L15+L16</f>
        <v>374709.23515517474</v>
      </c>
      <c r="M66" s="567">
        <f>K66+L66</f>
        <v>754957.34268256091</v>
      </c>
      <c r="N66" s="582">
        <f t="shared" si="25"/>
        <v>366682.16627565649</v>
      </c>
      <c r="O66" s="582">
        <f t="shared" si="25"/>
        <v>380477.48501024424</v>
      </c>
      <c r="P66" s="581">
        <f t="shared" si="25"/>
        <v>388551.49390090024</v>
      </c>
      <c r="Q66" s="97"/>
      <c r="R66" s="737">
        <f t="shared" ref="R66" si="26">((R61-R15-R16)/(R65/100))+R15+R16</f>
        <v>380248.10752738622</v>
      </c>
      <c r="S66" s="738"/>
      <c r="T66" s="738"/>
      <c r="U66" s="582"/>
      <c r="V66" s="582"/>
      <c r="W66" s="581"/>
    </row>
    <row r="67" spans="1:23" s="179" customFormat="1" ht="12" customHeight="1">
      <c r="A67" s="192" t="s">
        <v>99</v>
      </c>
      <c r="B67" s="79"/>
      <c r="C67" s="981"/>
      <c r="D67" s="981"/>
      <c r="E67" s="981"/>
      <c r="F67" s="1002"/>
      <c r="G67" s="193">
        <f t="shared" ref="G67:J67" si="27">G66/F66-1</f>
        <v>-1.6808211291319597E-2</v>
      </c>
      <c r="H67" s="193">
        <f t="shared" si="27"/>
        <v>-1.8942117058153407E-2</v>
      </c>
      <c r="I67" s="193">
        <f t="shared" si="27"/>
        <v>1.4481669317095935E-2</v>
      </c>
      <c r="J67" s="929">
        <f t="shared" si="27"/>
        <v>-4.3140424945291689E-2</v>
      </c>
      <c r="K67" s="780">
        <f>K66/J66-1</f>
        <v>-0.13668639907890445</v>
      </c>
      <c r="L67" s="781">
        <f t="shared" ref="L67:P67" si="28">L66/K66-1</f>
        <v>-1.4566469267207505E-2</v>
      </c>
      <c r="M67" s="718"/>
      <c r="N67" s="647">
        <f>N66/L66-1</f>
        <v>-2.1422127149319015E-2</v>
      </c>
      <c r="O67" s="647">
        <f t="shared" si="28"/>
        <v>3.7622006204187652E-2</v>
      </c>
      <c r="P67" s="615">
        <f t="shared" si="28"/>
        <v>2.1220727135637496E-2</v>
      </c>
      <c r="Q67" s="97"/>
      <c r="R67" s="780">
        <f>+R66/J66-1</f>
        <v>-0.13668639907890445</v>
      </c>
      <c r="S67" s="781"/>
      <c r="T67" s="781"/>
      <c r="U67" s="647"/>
      <c r="V67" s="647"/>
      <c r="W67" s="615"/>
    </row>
    <row r="68" spans="1:23" s="179" customFormat="1" ht="12" customHeight="1">
      <c r="A68" s="196" t="s">
        <v>139</v>
      </c>
      <c r="B68" s="197"/>
      <c r="C68" s="982"/>
      <c r="D68" s="982"/>
      <c r="E68" s="982"/>
      <c r="F68" s="198">
        <f>'T1'!F68</f>
        <v>246.09299999999999</v>
      </c>
      <c r="G68" s="111">
        <f>'T1'!G68</f>
        <v>245.18199999999999</v>
      </c>
      <c r="H68" s="111">
        <f>'T1'!H68</f>
        <v>249.824836137597</v>
      </c>
      <c r="I68" s="111">
        <f>'T1'!I68</f>
        <v>256.3</v>
      </c>
      <c r="J68" s="1026">
        <f>'T1'!J68</f>
        <v>256.00565702730603</v>
      </c>
      <c r="K68" s="782">
        <f>'T1'!K68</f>
        <v>134.32968502803001</v>
      </c>
      <c r="L68" s="782">
        <f>'T1'!L68</f>
        <v>139.24003148171201</v>
      </c>
      <c r="M68" s="111">
        <f>K68+L68</f>
        <v>273.56971650974202</v>
      </c>
      <c r="N68" s="782">
        <f>'T1'!N68</f>
        <v>204.80311130053201</v>
      </c>
      <c r="O68" s="782">
        <f>'T1'!O68</f>
        <v>240.42251109710699</v>
      </c>
      <c r="P68" s="782">
        <f>'T1'!P68</f>
        <v>258.33819951035298</v>
      </c>
      <c r="Q68" s="97"/>
      <c r="R68" s="782">
        <f>'T1'!R68</f>
        <v>134.32968502803001</v>
      </c>
      <c r="S68" s="783"/>
      <c r="T68" s="783"/>
      <c r="U68" s="648"/>
      <c r="V68" s="648"/>
      <c r="W68" s="618"/>
    </row>
    <row r="69" spans="1:23" s="179" customFormat="1" ht="12" customHeight="1">
      <c r="A69" s="192" t="s">
        <v>99</v>
      </c>
      <c r="B69" s="197"/>
      <c r="C69" s="981"/>
      <c r="D69" s="981"/>
      <c r="E69" s="981"/>
      <c r="F69" s="1002"/>
      <c r="G69" s="193">
        <f t="shared" ref="G69:J69" si="29">G68/F68-1</f>
        <v>-3.7018525516776535E-3</v>
      </c>
      <c r="H69" s="193">
        <f t="shared" si="29"/>
        <v>1.8936284627733668E-2</v>
      </c>
      <c r="I69" s="193">
        <f t="shared" si="29"/>
        <v>2.5918815609015988E-2</v>
      </c>
      <c r="J69" s="929">
        <f t="shared" si="29"/>
        <v>-1.14843141901666E-3</v>
      </c>
      <c r="K69" s="780">
        <f>K68/J68-1</f>
        <v>-0.47528626285901887</v>
      </c>
      <c r="L69" s="781">
        <f t="shared" ref="L69:P69" si="30">L68/K68-1</f>
        <v>3.6554440313452563E-2</v>
      </c>
      <c r="M69" s="718"/>
      <c r="N69" s="647">
        <f>N68/L68-1</f>
        <v>0.47086372447015101</v>
      </c>
      <c r="O69" s="647">
        <f t="shared" si="30"/>
        <v>0.17392020839129918</v>
      </c>
      <c r="P69" s="615">
        <f t="shared" si="30"/>
        <v>7.4517516398494799E-2</v>
      </c>
      <c r="Q69" s="97"/>
      <c r="R69" s="780">
        <f>+R68/J68-1</f>
        <v>-0.47528626285901887</v>
      </c>
      <c r="S69" s="781"/>
      <c r="T69" s="781"/>
      <c r="U69" s="647"/>
      <c r="V69" s="647"/>
      <c r="W69" s="615"/>
    </row>
    <row r="70" spans="1:23" s="179" customFormat="1" ht="12" customHeight="1">
      <c r="A70" s="196" t="s">
        <v>140</v>
      </c>
      <c r="B70" s="197"/>
      <c r="C70" s="983"/>
      <c r="D70" s="983"/>
      <c r="E70" s="983"/>
      <c r="F70" s="199">
        <f t="shared" ref="F70:K70" si="31">F66/F68</f>
        <v>1911.4983694418377</v>
      </c>
      <c r="G70" s="200">
        <f t="shared" si="31"/>
        <v>1886.3524997799202</v>
      </c>
      <c r="H70" s="200">
        <f t="shared" si="31"/>
        <v>1816.2283725054203</v>
      </c>
      <c r="I70" s="200">
        <f t="shared" si="31"/>
        <v>1795.9806986350964</v>
      </c>
      <c r="J70" s="1027">
        <f t="shared" si="31"/>
        <v>1720.4771781495244</v>
      </c>
      <c r="K70" s="784">
        <f t="shared" si="31"/>
        <v>2830.7079514706033</v>
      </c>
      <c r="L70" s="785">
        <f t="shared" ref="L70:P70" si="32">L66/L68</f>
        <v>2691.1027753135031</v>
      </c>
      <c r="M70" s="200">
        <f>M66/M68</f>
        <v>2759.6524656108136</v>
      </c>
      <c r="N70" s="649">
        <f t="shared" si="32"/>
        <v>1790.4130652467484</v>
      </c>
      <c r="O70" s="649">
        <f t="shared" si="32"/>
        <v>1582.5368567778116</v>
      </c>
      <c r="P70" s="619">
        <f t="shared" si="32"/>
        <v>1504.0419676120291</v>
      </c>
      <c r="Q70" s="97"/>
      <c r="R70" s="784">
        <f t="shared" ref="R70" si="33">R66/R68</f>
        <v>2830.7079514706033</v>
      </c>
      <c r="S70" s="785"/>
      <c r="T70" s="785"/>
      <c r="U70" s="649"/>
      <c r="V70" s="649"/>
      <c r="W70" s="619"/>
    </row>
    <row r="71" spans="1:23" ht="12" customHeight="1">
      <c r="A71" s="203" t="s">
        <v>99</v>
      </c>
      <c r="B71" s="197"/>
      <c r="C71" s="981"/>
      <c r="D71" s="981"/>
      <c r="E71" s="981"/>
      <c r="F71" s="1003"/>
      <c r="G71" s="204">
        <f t="shared" ref="G71:K71" si="34">+G70/F70-1</f>
        <v>-1.3155056820299604E-2</v>
      </c>
      <c r="H71" s="204">
        <f t="shared" si="34"/>
        <v>-3.7174455613508739E-2</v>
      </c>
      <c r="I71" s="204">
        <f t="shared" si="34"/>
        <v>-1.1148198198441928E-2</v>
      </c>
      <c r="J71" s="1028">
        <f t="shared" si="34"/>
        <v>-4.2040273897683278E-2</v>
      </c>
      <c r="K71" s="786">
        <f t="shared" si="34"/>
        <v>0.64530398160538116</v>
      </c>
      <c r="L71" s="787">
        <f t="shared" ref="L71" si="35">+L70/K70-1</f>
        <v>-4.9318113542788033E-2</v>
      </c>
      <c r="M71" s="447"/>
      <c r="N71" s="650">
        <f t="shared" ref="N71" si="36">+N70/L70-1</f>
        <v>-0.3346916804252591</v>
      </c>
      <c r="O71" s="650">
        <f t="shared" ref="O71" si="37">+O70/N70-1</f>
        <v>-0.11610516729573128</v>
      </c>
      <c r="P71" s="622">
        <f t="shared" ref="P71" si="38">+P70/O70-1</f>
        <v>-4.9600670486503073E-2</v>
      </c>
      <c r="Q71" s="97"/>
      <c r="R71" s="786">
        <f>+R70/J70-1</f>
        <v>0.64530398160538116</v>
      </c>
      <c r="S71" s="787"/>
      <c r="T71" s="787"/>
      <c r="U71" s="650"/>
      <c r="V71" s="650"/>
      <c r="W71" s="622"/>
    </row>
    <row r="72" spans="1:23" s="450" customFormat="1" ht="12" customHeight="1">
      <c r="A72" s="206"/>
      <c r="B72" s="197"/>
      <c r="C72" s="991"/>
      <c r="D72" s="991"/>
      <c r="E72" s="991"/>
      <c r="F72" s="194"/>
      <c r="G72" s="194"/>
      <c r="H72" s="194"/>
      <c r="I72" s="194"/>
      <c r="J72" s="194"/>
      <c r="K72" s="788"/>
      <c r="L72" s="788"/>
      <c r="M72" s="194"/>
      <c r="N72" s="194"/>
      <c r="O72" s="194"/>
      <c r="P72" s="194"/>
      <c r="Q72" s="97"/>
      <c r="R72" s="179"/>
      <c r="S72" s="179"/>
      <c r="T72" s="179"/>
      <c r="U72" s="179"/>
      <c r="V72" s="179"/>
      <c r="W72" s="179"/>
    </row>
    <row r="73" spans="1:23" s="450" customFormat="1" ht="12" customHeight="1">
      <c r="A73" s="207" t="s">
        <v>141</v>
      </c>
      <c r="B73" s="83"/>
      <c r="C73" s="967"/>
      <c r="D73" s="967"/>
      <c r="E73" s="967"/>
      <c r="F73" s="83"/>
      <c r="G73" s="83"/>
      <c r="H73" s="83"/>
      <c r="I73" s="83"/>
      <c r="J73" s="83"/>
      <c r="K73" s="207"/>
      <c r="L73" s="207"/>
      <c r="M73" s="83"/>
      <c r="N73" s="83"/>
      <c r="O73" s="83"/>
      <c r="P73" s="83"/>
      <c r="Q73" s="97"/>
      <c r="R73" s="516"/>
      <c r="S73" s="74"/>
      <c r="T73" s="74"/>
      <c r="U73" s="74"/>
      <c r="V73" s="74"/>
      <c r="W73" s="74"/>
    </row>
    <row r="74" spans="1:23" s="459" customFormat="1" ht="12" customHeight="1">
      <c r="A74" s="208" t="s">
        <v>499</v>
      </c>
      <c r="B74" s="209"/>
      <c r="C74" s="985"/>
      <c r="D74" s="985"/>
      <c r="E74" s="985"/>
      <c r="F74" s="209"/>
      <c r="G74" s="209"/>
      <c r="H74" s="209"/>
      <c r="I74" s="209"/>
      <c r="J74" s="209"/>
      <c r="K74" s="215"/>
      <c r="L74" s="215"/>
      <c r="M74" s="210"/>
      <c r="N74" s="182"/>
      <c r="O74" s="469"/>
      <c r="P74" s="211"/>
      <c r="Q74" s="97"/>
      <c r="R74" s="722"/>
      <c r="S74" s="450"/>
      <c r="T74" s="450"/>
      <c r="U74" s="450"/>
      <c r="V74" s="450"/>
      <c r="W74" s="450"/>
    </row>
    <row r="75" spans="1:23" s="459" customFormat="1" ht="12" customHeight="1">
      <c r="A75" s="208" t="s">
        <v>142</v>
      </c>
      <c r="B75" s="212"/>
      <c r="C75" s="986"/>
      <c r="D75" s="986"/>
      <c r="E75" s="986"/>
      <c r="F75" s="212"/>
      <c r="G75" s="212"/>
      <c r="H75" s="212"/>
      <c r="I75" s="212"/>
      <c r="J75" s="212"/>
      <c r="K75" s="215"/>
      <c r="L75" s="215"/>
      <c r="M75" s="215"/>
      <c r="N75" s="215"/>
      <c r="O75" s="470"/>
      <c r="P75" s="210"/>
      <c r="Q75" s="97"/>
      <c r="R75" s="516"/>
      <c r="S75" s="74"/>
      <c r="T75" s="74"/>
      <c r="U75" s="74"/>
      <c r="V75" s="74"/>
      <c r="W75" s="74"/>
    </row>
    <row r="76" spans="1:23" ht="12" customHeight="1">
      <c r="A76" s="208" t="s">
        <v>143</v>
      </c>
      <c r="B76" s="213"/>
      <c r="C76" s="987"/>
      <c r="D76" s="987"/>
      <c r="E76" s="987"/>
      <c r="F76" s="213"/>
      <c r="G76" s="213"/>
      <c r="H76" s="213"/>
      <c r="I76" s="213"/>
      <c r="J76" s="213"/>
      <c r="K76" s="723"/>
      <c r="L76" s="723"/>
      <c r="M76" s="214"/>
      <c r="N76" s="214"/>
      <c r="O76" s="471"/>
      <c r="P76" s="472"/>
      <c r="Q76" s="97"/>
      <c r="R76" s="724"/>
      <c r="S76" s="459"/>
      <c r="T76" s="459"/>
      <c r="U76" s="459"/>
      <c r="V76" s="459"/>
      <c r="W76" s="459"/>
    </row>
    <row r="77" spans="1:23" s="459" customFormat="1" ht="12" customHeight="1">
      <c r="A77" s="208"/>
      <c r="B77" s="83"/>
      <c r="C77" s="967"/>
      <c r="D77" s="967"/>
      <c r="E77" s="967"/>
      <c r="F77" s="83"/>
      <c r="G77" s="83"/>
      <c r="H77" s="83"/>
      <c r="I77" s="83"/>
      <c r="J77" s="83"/>
      <c r="K77" s="725"/>
      <c r="L77" s="725"/>
      <c r="M77" s="473"/>
      <c r="N77" s="473"/>
      <c r="O77" s="710"/>
      <c r="P77" s="472"/>
      <c r="Q77" s="97"/>
      <c r="R77" s="726"/>
    </row>
    <row r="78" spans="1:23" ht="12" customHeight="1">
      <c r="A78" s="474"/>
      <c r="B78" s="474"/>
      <c r="C78" s="988"/>
      <c r="D78" s="988"/>
      <c r="E78" s="988"/>
      <c r="F78" s="75"/>
      <c r="G78" s="75"/>
      <c r="H78" s="75"/>
      <c r="I78" s="75"/>
      <c r="J78" s="75"/>
      <c r="K78" s="475"/>
      <c r="L78" s="475"/>
      <c r="M78" s="475"/>
      <c r="N78" s="475"/>
      <c r="O78" s="475"/>
      <c r="P78" s="214"/>
      <c r="Q78" s="97"/>
      <c r="R78" s="516"/>
    </row>
    <row r="79" spans="1:23" ht="12" customHeight="1">
      <c r="A79" s="75"/>
      <c r="B79" s="75"/>
      <c r="F79" s="75"/>
      <c r="G79" s="75"/>
      <c r="H79" s="75"/>
      <c r="I79" s="75"/>
      <c r="J79" s="75"/>
      <c r="K79" s="475"/>
      <c r="L79" s="475"/>
      <c r="M79" s="79"/>
      <c r="N79" s="79"/>
      <c r="O79" s="79"/>
      <c r="P79" s="79"/>
      <c r="Q79" s="97"/>
      <c r="R79" s="726"/>
      <c r="S79" s="459"/>
      <c r="T79" s="459"/>
      <c r="U79" s="459"/>
      <c r="V79" s="459"/>
      <c r="W79" s="459"/>
    </row>
    <row r="80" spans="1:23" s="459" customFormat="1" ht="12" customHeight="1">
      <c r="A80" s="208"/>
      <c r="B80" s="83"/>
      <c r="C80" s="967"/>
      <c r="D80" s="967"/>
      <c r="E80" s="967"/>
      <c r="F80" s="83"/>
      <c r="G80" s="1039"/>
      <c r="H80" s="1039"/>
      <c r="I80" s="1039"/>
      <c r="J80" s="1039"/>
      <c r="K80" s="670"/>
      <c r="L80" s="670"/>
      <c r="M80" s="90"/>
      <c r="N80" s="670"/>
      <c r="O80" s="670"/>
      <c r="P80" s="670"/>
      <c r="Q80" s="97"/>
      <c r="R80" s="726"/>
    </row>
    <row r="81" spans="1:23" ht="12" customHeight="1">
      <c r="A81" s="474"/>
      <c r="B81" s="474"/>
      <c r="C81" s="988"/>
      <c r="D81" s="988"/>
      <c r="E81" s="988"/>
      <c r="F81" s="75"/>
      <c r="G81" s="75"/>
      <c r="H81" s="75"/>
      <c r="I81" s="1040"/>
      <c r="J81" s="75"/>
      <c r="K81" s="474"/>
      <c r="L81" s="474"/>
      <c r="M81" s="76"/>
      <c r="N81" s="474"/>
      <c r="O81" s="474"/>
      <c r="P81" s="474"/>
      <c r="Q81" s="221"/>
      <c r="R81" s="516"/>
    </row>
    <row r="82" spans="1:23" ht="12" customHeight="1">
      <c r="A82" s="75"/>
      <c r="B82" s="75"/>
      <c r="F82" s="75"/>
      <c r="G82" s="75"/>
      <c r="H82" s="75"/>
      <c r="I82" s="75"/>
      <c r="J82" s="75"/>
      <c r="K82" s="474"/>
      <c r="L82" s="474"/>
      <c r="M82" s="76"/>
      <c r="N82" s="75"/>
      <c r="O82" s="75"/>
      <c r="P82" s="75"/>
      <c r="Q82" s="473"/>
      <c r="R82" s="726"/>
      <c r="S82" s="459"/>
      <c r="T82" s="459"/>
      <c r="U82" s="459"/>
      <c r="V82" s="459"/>
      <c r="W82" s="459"/>
    </row>
    <row r="83" spans="1:23">
      <c r="F83" s="669"/>
      <c r="G83" s="669"/>
      <c r="H83" s="669"/>
      <c r="I83" s="669"/>
      <c r="J83" s="669"/>
      <c r="K83" s="727"/>
      <c r="L83" s="727"/>
      <c r="M83" s="74"/>
      <c r="N83" s="669"/>
      <c r="O83" s="669"/>
      <c r="P83" s="669"/>
      <c r="Q83" s="90"/>
      <c r="R83" s="538"/>
      <c r="S83" s="90"/>
      <c r="T83" s="90"/>
      <c r="U83" s="90"/>
      <c r="V83" s="90"/>
      <c r="W83" s="90"/>
    </row>
    <row r="84" spans="1:23" ht="12" customHeight="1">
      <c r="A84" s="74"/>
      <c r="B84" s="74"/>
      <c r="C84" s="967"/>
      <c r="D84" s="967"/>
      <c r="E84" s="967"/>
      <c r="F84" s="74"/>
      <c r="G84" s="74"/>
      <c r="H84" s="74"/>
      <c r="I84" s="74"/>
      <c r="J84" s="74"/>
      <c r="K84" s="516"/>
      <c r="L84" s="516"/>
      <c r="M84" s="74"/>
      <c r="N84" s="74"/>
      <c r="O84" s="74"/>
    </row>
    <row r="85" spans="1:23">
      <c r="M85" s="76"/>
    </row>
    <row r="86" spans="1:23">
      <c r="M86" s="76"/>
      <c r="P86" s="74"/>
      <c r="Q86" s="74"/>
    </row>
    <row r="87" spans="1:23">
      <c r="M87" s="76"/>
    </row>
    <row r="88" spans="1:23">
      <c r="M88" s="76"/>
    </row>
    <row r="89" spans="1:23">
      <c r="M89" s="76"/>
    </row>
    <row r="90" spans="1:23">
      <c r="M90" s="76"/>
    </row>
    <row r="91" spans="1:23">
      <c r="M91" s="76"/>
    </row>
    <row r="92" spans="1:23">
      <c r="M92" s="76"/>
    </row>
    <row r="93" spans="1:23">
      <c r="M93" s="76"/>
    </row>
    <row r="94" spans="1:23">
      <c r="M94" s="76"/>
    </row>
    <row r="95" spans="1:23">
      <c r="M95" s="76"/>
    </row>
    <row r="96" spans="1:23">
      <c r="M96" s="76"/>
    </row>
    <row r="97" spans="13:13">
      <c r="M97" s="76"/>
    </row>
    <row r="98" spans="13:13">
      <c r="M98" s="76"/>
    </row>
    <row r="99" spans="13:13">
      <c r="M99" s="76"/>
    </row>
    <row r="100" spans="13:13">
      <c r="M100" s="76"/>
    </row>
    <row r="101" spans="13:13">
      <c r="M101" s="76"/>
    </row>
    <row r="102" spans="13:13">
      <c r="M102" s="76"/>
    </row>
    <row r="103" spans="13:13">
      <c r="M103" s="76"/>
    </row>
    <row r="104" spans="13:13">
      <c r="M104" s="76"/>
    </row>
    <row r="105" spans="13:13">
      <c r="M105" s="76"/>
    </row>
    <row r="106" spans="13:13">
      <c r="M106" s="76"/>
    </row>
    <row r="107" spans="13:13">
      <c r="M107" s="76"/>
    </row>
    <row r="108" spans="13:13">
      <c r="M108" s="76"/>
    </row>
    <row r="109" spans="13:13">
      <c r="M109" s="76"/>
    </row>
    <row r="110" spans="13:13">
      <c r="M110" s="76"/>
    </row>
    <row r="111" spans="13:13">
      <c r="M111" s="76"/>
    </row>
    <row r="112" spans="13:13">
      <c r="M112" s="76"/>
    </row>
    <row r="113" spans="1:17">
      <c r="M113" s="76"/>
    </row>
    <row r="114" spans="1:17">
      <c r="M114" s="76"/>
    </row>
    <row r="115" spans="1:17">
      <c r="M115" s="76"/>
    </row>
    <row r="116" spans="1:17">
      <c r="M116" s="76"/>
    </row>
    <row r="117" spans="1:17">
      <c r="M117" s="76"/>
    </row>
    <row r="118" spans="1:17" ht="12" customHeight="1">
      <c r="A118" s="476"/>
      <c r="B118" s="74"/>
      <c r="C118" s="967"/>
      <c r="D118" s="967"/>
      <c r="E118" s="967"/>
      <c r="F118" s="74"/>
      <c r="G118" s="74"/>
      <c r="H118" s="74"/>
      <c r="I118" s="74"/>
      <c r="J118" s="74"/>
      <c r="K118" s="516"/>
      <c r="L118" s="516"/>
      <c r="M118" s="74"/>
      <c r="N118" s="74"/>
      <c r="O118" s="74"/>
    </row>
    <row r="119" spans="1:17">
      <c r="M119" s="76"/>
    </row>
    <row r="120" spans="1:17">
      <c r="M120" s="76"/>
      <c r="P120" s="74"/>
      <c r="Q120" s="74"/>
    </row>
    <row r="122" spans="1:17" ht="12" customHeight="1">
      <c r="B122" s="74"/>
      <c r="C122" s="967"/>
      <c r="D122" s="967"/>
      <c r="E122" s="967"/>
      <c r="F122" s="74"/>
      <c r="G122" s="74"/>
      <c r="H122" s="74"/>
      <c r="I122" s="74"/>
      <c r="J122" s="74"/>
      <c r="K122" s="516"/>
      <c r="L122" s="516"/>
      <c r="M122" s="715"/>
      <c r="N122" s="74"/>
      <c r="O122" s="74"/>
    </row>
    <row r="124" spans="1:17">
      <c r="P124" s="74"/>
      <c r="Q124" s="74"/>
    </row>
    <row r="135" spans="2:17" ht="12" customHeight="1">
      <c r="B135" s="74"/>
      <c r="C135" s="967"/>
      <c r="D135" s="967"/>
      <c r="E135" s="967"/>
      <c r="F135" s="74"/>
      <c r="G135" s="74"/>
      <c r="H135" s="74"/>
      <c r="I135" s="74"/>
      <c r="J135" s="74"/>
      <c r="K135" s="516"/>
      <c r="L135" s="516"/>
      <c r="M135" s="715"/>
      <c r="N135" s="74"/>
      <c r="O135" s="74"/>
    </row>
    <row r="137" spans="2:17">
      <c r="P137" s="74"/>
      <c r="Q137" s="74"/>
    </row>
    <row r="142" spans="2:17" ht="12" customHeight="1">
      <c r="B142" s="74"/>
      <c r="C142" s="967"/>
      <c r="D142" s="967"/>
      <c r="E142" s="967"/>
      <c r="F142" s="74"/>
      <c r="G142" s="74"/>
      <c r="H142" s="74"/>
      <c r="I142" s="74"/>
      <c r="J142" s="74"/>
      <c r="K142" s="516"/>
      <c r="L142" s="516"/>
      <c r="M142" s="715"/>
      <c r="N142" s="74"/>
      <c r="O142" s="74"/>
    </row>
    <row r="144" spans="2:17">
      <c r="P144" s="74"/>
      <c r="Q144" s="74"/>
    </row>
  </sheetData>
  <mergeCells count="3">
    <mergeCell ref="K7:P7"/>
    <mergeCell ref="R7:W7"/>
    <mergeCell ref="F7:J7"/>
  </mergeCells>
  <pageMargins left="0.7" right="0.7" top="0.75" bottom="0.75" header="0.3" footer="0.3"/>
  <pageSetup paperSize="9" scale="49" orientation="portrait" r:id="rId1"/>
  <ignoredErrors>
    <ignoredError sqref="F68:K6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85">
    <pageSetUpPr fitToPage="1"/>
  </sheetPr>
  <dimension ref="A1:W119"/>
  <sheetViews>
    <sheetView showGridLines="0" zoomScale="120" zoomScaleNormal="120" workbookViewId="0">
      <selection activeCell="S9" sqref="S9"/>
    </sheetView>
  </sheetViews>
  <sheetFormatPr baseColWidth="10" defaultColWidth="12.5703125" defaultRowHeight="12"/>
  <cols>
    <col min="1" max="1" width="30.7109375" style="90" customWidth="1"/>
    <col min="2" max="2" width="0.5703125" style="90" customWidth="1"/>
    <col min="3" max="5" width="8" style="963" hidden="1" customWidth="1"/>
    <col min="6" max="10" width="8.5703125" style="90" customWidth="1"/>
    <col min="11" max="12" width="8.5703125" style="728" customWidth="1"/>
    <col min="13" max="16" width="8.5703125" style="76" customWidth="1"/>
    <col min="17" max="17" width="0.5703125" style="76" customWidth="1"/>
    <col min="18" max="18" width="8.5703125" style="728" customWidth="1"/>
    <col min="19" max="23" width="8.5703125" style="74" customWidth="1"/>
    <col min="24" max="16384" width="12.5703125" style="74"/>
  </cols>
  <sheetData>
    <row r="1" spans="1:23" ht="12" customHeight="1">
      <c r="A1" s="73" t="s">
        <v>346</v>
      </c>
      <c r="B1" s="73"/>
      <c r="C1" s="962"/>
      <c r="D1" s="962"/>
      <c r="E1" s="962"/>
      <c r="F1" s="73"/>
      <c r="G1" s="73"/>
      <c r="H1" s="73"/>
      <c r="I1" s="73"/>
      <c r="J1" s="73"/>
      <c r="L1" s="729"/>
      <c r="M1" s="73"/>
      <c r="N1" s="73"/>
      <c r="O1" s="73"/>
      <c r="P1" s="73"/>
      <c r="Q1" s="73"/>
      <c r="S1" s="73"/>
      <c r="T1" s="73"/>
      <c r="U1" s="73"/>
      <c r="V1" s="73"/>
      <c r="W1" s="73"/>
    </row>
    <row r="2" spans="1:23" ht="12" customHeight="1">
      <c r="A2" s="75"/>
      <c r="B2" s="75"/>
      <c r="F2" s="75"/>
      <c r="G2" s="75"/>
      <c r="H2" s="75"/>
      <c r="I2" s="75"/>
      <c r="J2" s="75"/>
    </row>
    <row r="3" spans="1:23" ht="12" customHeight="1">
      <c r="A3" s="517" t="str">
        <f>Header!B3</f>
        <v>Norway - TCZ</v>
      </c>
      <c r="B3" s="78"/>
      <c r="C3" s="964"/>
      <c r="D3" s="964"/>
      <c r="E3" s="964"/>
      <c r="F3" s="78"/>
      <c r="G3" s="78"/>
      <c r="H3" s="78"/>
      <c r="I3" s="78"/>
      <c r="J3" s="78"/>
      <c r="K3" s="475"/>
      <c r="L3" s="475"/>
      <c r="M3" s="79"/>
      <c r="N3" s="79"/>
      <c r="O3" s="79"/>
      <c r="P3" s="79"/>
      <c r="Q3" s="79"/>
      <c r="R3" s="475"/>
      <c r="S3" s="430"/>
      <c r="T3" s="430"/>
      <c r="U3" s="430"/>
      <c r="V3" s="430"/>
      <c r="W3" s="430"/>
    </row>
    <row r="4" spans="1:23" ht="12" customHeight="1">
      <c r="A4" s="518" t="s">
        <v>695</v>
      </c>
      <c r="B4" s="78"/>
      <c r="C4" s="964"/>
      <c r="D4" s="964"/>
      <c r="E4" s="964"/>
      <c r="F4" s="78"/>
      <c r="G4" s="78"/>
      <c r="H4" s="78"/>
      <c r="I4" s="78"/>
      <c r="J4" s="78"/>
      <c r="K4" s="475"/>
      <c r="L4" s="475"/>
      <c r="M4" s="79"/>
      <c r="N4" s="79"/>
      <c r="O4" s="79"/>
      <c r="P4" s="79"/>
      <c r="Q4" s="79"/>
      <c r="R4" s="475"/>
    </row>
    <row r="5" spans="1:23" ht="12" customHeight="1">
      <c r="A5" s="519" t="s">
        <v>697</v>
      </c>
      <c r="B5" s="78"/>
      <c r="C5" s="964"/>
      <c r="D5" s="964"/>
      <c r="E5" s="964"/>
      <c r="F5" s="78"/>
      <c r="G5" s="78"/>
      <c r="H5" s="78"/>
      <c r="I5" s="78"/>
      <c r="J5" s="78"/>
      <c r="K5" s="475"/>
      <c r="L5" s="475"/>
      <c r="M5" s="79"/>
      <c r="N5" s="79"/>
      <c r="O5" s="79"/>
      <c r="P5" s="79"/>
      <c r="Q5" s="79"/>
      <c r="R5" s="475"/>
    </row>
    <row r="6" spans="1:23" ht="12" customHeight="1">
      <c r="A6" s="75"/>
      <c r="B6" s="75"/>
      <c r="F6" s="75"/>
      <c r="G6" s="75"/>
      <c r="H6" s="75"/>
      <c r="I6" s="75"/>
      <c r="J6" s="75"/>
    </row>
    <row r="7" spans="1:23" s="82" customFormat="1" ht="12" customHeight="1">
      <c r="C7" s="965"/>
      <c r="D7" s="966"/>
      <c r="E7" s="966"/>
      <c r="F7" s="1505" t="s">
        <v>555</v>
      </c>
      <c r="G7" s="1506"/>
      <c r="H7" s="1506"/>
      <c r="I7" s="1506"/>
      <c r="J7" s="1507"/>
      <c r="K7" s="1500" t="s">
        <v>345</v>
      </c>
      <c r="L7" s="1501"/>
      <c r="M7" s="1501"/>
      <c r="N7" s="1501"/>
      <c r="O7" s="1501"/>
      <c r="P7" s="1502"/>
      <c r="Q7" s="1004"/>
      <c r="R7" s="1505" t="s">
        <v>89</v>
      </c>
      <c r="S7" s="1506"/>
      <c r="T7" s="1506"/>
      <c r="U7" s="1506"/>
      <c r="V7" s="1506"/>
      <c r="W7" s="1507"/>
    </row>
    <row r="8" spans="1:23" ht="12" customHeight="1">
      <c r="A8" s="74"/>
      <c r="B8" s="74"/>
      <c r="C8" s="967"/>
      <c r="D8" s="967"/>
      <c r="E8" s="967"/>
      <c r="F8" s="74"/>
      <c r="G8" s="74"/>
      <c r="H8" s="74"/>
      <c r="I8" s="74"/>
      <c r="J8" s="74"/>
      <c r="K8" s="207"/>
      <c r="L8" s="207"/>
      <c r="M8" s="83"/>
      <c r="N8" s="83"/>
      <c r="O8" s="83"/>
      <c r="P8" s="83"/>
      <c r="Q8" s="83"/>
      <c r="R8" s="207"/>
    </row>
    <row r="9" spans="1:23" s="89" customFormat="1" ht="12" customHeight="1">
      <c r="A9" s="84" t="s">
        <v>90</v>
      </c>
      <c r="B9" s="75"/>
      <c r="C9" s="968"/>
      <c r="D9" s="968"/>
      <c r="E9" s="968"/>
      <c r="F9" s="85">
        <v>2015</v>
      </c>
      <c r="G9" s="86">
        <v>2016</v>
      </c>
      <c r="H9" s="86">
        <v>2017</v>
      </c>
      <c r="I9" s="86">
        <v>2018</v>
      </c>
      <c r="J9" s="87">
        <v>2019</v>
      </c>
      <c r="K9" s="711">
        <v>2020</v>
      </c>
      <c r="L9" s="711">
        <v>2021</v>
      </c>
      <c r="M9" s="86" t="s">
        <v>498</v>
      </c>
      <c r="N9" s="86">
        <v>2022</v>
      </c>
      <c r="O9" s="86">
        <v>2023</v>
      </c>
      <c r="P9" s="87">
        <v>2024</v>
      </c>
      <c r="Q9" s="88"/>
      <c r="R9" s="931">
        <v>2020</v>
      </c>
      <c r="S9" s="712">
        <v>2021</v>
      </c>
      <c r="T9" s="86" t="s">
        <v>498</v>
      </c>
      <c r="U9" s="86">
        <v>2022</v>
      </c>
      <c r="V9" s="86">
        <v>2023</v>
      </c>
      <c r="W9" s="87">
        <v>2024</v>
      </c>
    </row>
    <row r="10" spans="1:23" ht="12" customHeight="1">
      <c r="A10" s="75"/>
      <c r="B10" s="75"/>
      <c r="F10" s="75"/>
      <c r="G10" s="75"/>
      <c r="H10" s="75"/>
      <c r="I10" s="75"/>
      <c r="J10" s="75"/>
      <c r="K10" s="538"/>
      <c r="L10" s="538"/>
      <c r="M10" s="90"/>
      <c r="N10" s="90"/>
      <c r="R10" s="538"/>
      <c r="S10" s="90"/>
      <c r="T10" s="90"/>
      <c r="U10" s="90"/>
      <c r="V10" s="90"/>
      <c r="W10" s="90"/>
    </row>
    <row r="11" spans="1:23" ht="15.6" customHeight="1">
      <c r="A11" s="91" t="s">
        <v>91</v>
      </c>
      <c r="B11" s="969"/>
      <c r="C11" s="969"/>
      <c r="D11" s="969"/>
      <c r="E11" s="969"/>
      <c r="F11" s="91"/>
      <c r="G11" s="91"/>
      <c r="H11" s="91"/>
      <c r="I11" s="91"/>
      <c r="J11" s="91"/>
      <c r="K11" s="730"/>
      <c r="L11" s="730"/>
      <c r="M11" s="93"/>
      <c r="N11" s="93"/>
      <c r="O11" s="93"/>
      <c r="P11" s="92"/>
      <c r="Q11" s="92"/>
      <c r="R11" s="730"/>
      <c r="S11" s="93"/>
      <c r="T11" s="93"/>
      <c r="U11" s="94"/>
      <c r="V11" s="94"/>
      <c r="W11" s="94"/>
    </row>
    <row r="12" spans="1:23" ht="12" customHeight="1">
      <c r="A12" s="95" t="s">
        <v>92</v>
      </c>
      <c r="B12" s="102"/>
      <c r="C12" s="970"/>
      <c r="D12" s="970"/>
      <c r="E12" s="970"/>
      <c r="F12" s="98">
        <v>4752.4769807511202</v>
      </c>
      <c r="G12" s="99">
        <v>3431</v>
      </c>
      <c r="H12" s="99">
        <v>3688.1921600000001</v>
      </c>
      <c r="I12" s="99">
        <v>3909.1649600000001</v>
      </c>
      <c r="J12" s="709">
        <v>3869.8256000000001</v>
      </c>
      <c r="K12" s="731">
        <v>6836.5622599999997</v>
      </c>
      <c r="L12" s="732">
        <v>6986.9666297200001</v>
      </c>
      <c r="M12" s="99">
        <f>K12+L12</f>
        <v>13823.528889720001</v>
      </c>
      <c r="N12" s="732">
        <v>7126.7059623143996</v>
      </c>
      <c r="O12" s="732">
        <v>7269.2400815606889</v>
      </c>
      <c r="P12" s="1414">
        <v>7414.6248831919011</v>
      </c>
      <c r="Q12" s="1426"/>
      <c r="R12" s="731">
        <v>6836.5622599999997</v>
      </c>
      <c r="S12" s="477"/>
      <c r="T12" s="477"/>
      <c r="U12" s="515"/>
      <c r="V12" s="100"/>
      <c r="W12" s="101"/>
    </row>
    <row r="13" spans="1:23" ht="12" customHeight="1">
      <c r="A13" s="102" t="s">
        <v>93</v>
      </c>
      <c r="B13" s="102"/>
      <c r="C13" s="971"/>
      <c r="D13" s="971"/>
      <c r="E13" s="971"/>
      <c r="F13" s="480"/>
      <c r="G13" s="481"/>
      <c r="H13" s="481"/>
      <c r="I13" s="481"/>
      <c r="J13" s="708"/>
      <c r="K13" s="747">
        <v>0</v>
      </c>
      <c r="L13" s="748">
        <v>0</v>
      </c>
      <c r="M13" s="563">
        <f t="shared" ref="M13:M17" si="0">K13+L13</f>
        <v>0</v>
      </c>
      <c r="N13" s="748">
        <v>0</v>
      </c>
      <c r="O13" s="748">
        <v>0</v>
      </c>
      <c r="P13" s="1416">
        <v>0</v>
      </c>
      <c r="Q13" s="1426"/>
      <c r="R13" s="747">
        <v>0</v>
      </c>
      <c r="S13" s="487"/>
      <c r="T13" s="487"/>
      <c r="U13" s="521"/>
      <c r="V13" s="105"/>
      <c r="W13" s="106"/>
    </row>
    <row r="14" spans="1:23" ht="12" customHeight="1">
      <c r="A14" s="102" t="s">
        <v>94</v>
      </c>
      <c r="B14" s="102"/>
      <c r="C14" s="970"/>
      <c r="D14" s="970"/>
      <c r="E14" s="970"/>
      <c r="F14" s="103">
        <v>2236</v>
      </c>
      <c r="G14" s="104">
        <v>1614</v>
      </c>
      <c r="H14" s="104">
        <v>1735.6198400000001</v>
      </c>
      <c r="I14" s="104">
        <v>1839.6070400000001</v>
      </c>
      <c r="J14" s="431">
        <v>1821.0944</v>
      </c>
      <c r="K14" s="735">
        <v>1112.9287400000001</v>
      </c>
      <c r="L14" s="736">
        <v>1137.4131722800003</v>
      </c>
      <c r="M14" s="104">
        <f t="shared" si="0"/>
        <v>2250.3419122800005</v>
      </c>
      <c r="N14" s="736">
        <v>1160.1614357256001</v>
      </c>
      <c r="O14" s="736">
        <v>1183.3646644401124</v>
      </c>
      <c r="P14" s="1415">
        <v>1207.0319577289142</v>
      </c>
      <c r="Q14" s="1426"/>
      <c r="R14" s="735">
        <v>1112.9287400000001</v>
      </c>
      <c r="S14" s="487"/>
      <c r="T14" s="487"/>
      <c r="U14" s="521"/>
      <c r="V14" s="105"/>
      <c r="W14" s="106"/>
    </row>
    <row r="15" spans="1:23" ht="12" customHeight="1">
      <c r="A15" s="102" t="s">
        <v>95</v>
      </c>
      <c r="B15" s="102"/>
      <c r="C15" s="970"/>
      <c r="D15" s="970"/>
      <c r="E15" s="970"/>
      <c r="F15" s="103"/>
      <c r="G15" s="104"/>
      <c r="H15" s="104"/>
      <c r="I15" s="104"/>
      <c r="J15" s="431"/>
      <c r="K15" s="735">
        <v>0</v>
      </c>
      <c r="L15" s="736">
        <v>0</v>
      </c>
      <c r="M15" s="104">
        <f t="shared" si="0"/>
        <v>0</v>
      </c>
      <c r="N15" s="736">
        <v>0</v>
      </c>
      <c r="O15" s="736">
        <v>0</v>
      </c>
      <c r="P15" s="1415">
        <v>0</v>
      </c>
      <c r="Q15" s="1426"/>
      <c r="R15" s="735">
        <v>0</v>
      </c>
      <c r="S15" s="487"/>
      <c r="T15" s="487"/>
      <c r="U15" s="521"/>
      <c r="V15" s="105"/>
      <c r="W15" s="106"/>
    </row>
    <row r="16" spans="1:23" ht="12" customHeight="1">
      <c r="A16" s="102" t="s">
        <v>96</v>
      </c>
      <c r="B16" s="102"/>
      <c r="C16" s="970"/>
      <c r="D16" s="970"/>
      <c r="E16" s="970"/>
      <c r="F16" s="103"/>
      <c r="G16" s="104"/>
      <c r="H16" s="104"/>
      <c r="I16" s="104"/>
      <c r="J16" s="431"/>
      <c r="K16" s="735">
        <v>0</v>
      </c>
      <c r="L16" s="736">
        <v>0</v>
      </c>
      <c r="M16" s="104">
        <f t="shared" si="0"/>
        <v>0</v>
      </c>
      <c r="N16" s="736">
        <v>0</v>
      </c>
      <c r="O16" s="736">
        <v>0</v>
      </c>
      <c r="P16" s="1415">
        <v>0</v>
      </c>
      <c r="Q16" s="1426"/>
      <c r="R16" s="735">
        <v>0</v>
      </c>
      <c r="S16" s="487"/>
      <c r="T16" s="487"/>
      <c r="U16" s="521"/>
      <c r="V16" s="105"/>
      <c r="W16" s="106"/>
    </row>
    <row r="17" spans="1:23" ht="12" customHeight="1">
      <c r="A17" s="102" t="s">
        <v>97</v>
      </c>
      <c r="B17" s="102"/>
      <c r="C17" s="970"/>
      <c r="D17" s="970"/>
      <c r="E17" s="970"/>
      <c r="F17" s="103"/>
      <c r="G17" s="104"/>
      <c r="H17" s="104"/>
      <c r="I17" s="104"/>
      <c r="J17" s="431"/>
      <c r="K17" s="735">
        <v>0</v>
      </c>
      <c r="L17" s="736">
        <v>0</v>
      </c>
      <c r="M17" s="104">
        <f t="shared" si="0"/>
        <v>0</v>
      </c>
      <c r="N17" s="736">
        <v>0</v>
      </c>
      <c r="O17" s="736">
        <v>0</v>
      </c>
      <c r="P17" s="1415">
        <v>0</v>
      </c>
      <c r="Q17" s="1426"/>
      <c r="R17" s="735">
        <v>0</v>
      </c>
      <c r="S17" s="487"/>
      <c r="T17" s="487"/>
      <c r="U17" s="521"/>
      <c r="V17" s="105"/>
      <c r="W17" s="106"/>
    </row>
    <row r="18" spans="1:23" ht="12" customHeight="1">
      <c r="A18" s="108" t="s">
        <v>98</v>
      </c>
      <c r="B18" s="432"/>
      <c r="C18" s="972"/>
      <c r="D18" s="972"/>
      <c r="E18" s="972"/>
      <c r="F18" s="109">
        <f t="shared" ref="F18:H18" si="1">SUM(F12:F17)</f>
        <v>6988.4769807511202</v>
      </c>
      <c r="G18" s="567">
        <f t="shared" si="1"/>
        <v>5045</v>
      </c>
      <c r="H18" s="567">
        <f t="shared" si="1"/>
        <v>5423.8119999999999</v>
      </c>
      <c r="I18" s="567">
        <f t="shared" ref="I18" si="2">I12+SUM(I14:I17)</f>
        <v>5748.7719999999999</v>
      </c>
      <c r="J18" s="219">
        <f t="shared" ref="J18:P18" si="3">J12+SUM(J14:J17)</f>
        <v>5690.92</v>
      </c>
      <c r="K18" s="737">
        <f t="shared" si="3"/>
        <v>7949.491</v>
      </c>
      <c r="L18" s="738">
        <f t="shared" si="3"/>
        <v>8124.3798020000004</v>
      </c>
      <c r="M18" s="567">
        <f t="shared" ref="M18" si="4">M12+SUM(M14:M17)</f>
        <v>16073.870802000001</v>
      </c>
      <c r="N18" s="738">
        <f t="shared" si="3"/>
        <v>8286.8673980399999</v>
      </c>
      <c r="O18" s="738">
        <f t="shared" si="3"/>
        <v>8452.6047460008012</v>
      </c>
      <c r="P18" s="1423">
        <f t="shared" si="3"/>
        <v>8621.6568409208157</v>
      </c>
      <c r="Q18" s="1426"/>
      <c r="R18" s="737">
        <f t="shared" ref="R18" si="5">R12+SUM(R14:R17)</f>
        <v>7949.491</v>
      </c>
      <c r="S18" s="110"/>
      <c r="T18" s="567"/>
      <c r="U18" s="522"/>
      <c r="V18" s="110"/>
      <c r="W18" s="219"/>
    </row>
    <row r="19" spans="1:23" ht="12" customHeight="1">
      <c r="A19" s="113" t="s">
        <v>99</v>
      </c>
      <c r="B19" s="114"/>
      <c r="C19" s="973"/>
      <c r="D19" s="973"/>
      <c r="E19" s="973"/>
      <c r="F19" s="115"/>
      <c r="G19" s="116">
        <f t="shared" ref="G19:I19" si="6">+G18/F18-1</f>
        <v>-0.27809735742196517</v>
      </c>
      <c r="H19" s="116">
        <f t="shared" si="6"/>
        <v>7.5086620416253691E-2</v>
      </c>
      <c r="I19" s="116">
        <f t="shared" si="6"/>
        <v>5.9913581075450306E-2</v>
      </c>
      <c r="J19" s="117">
        <f t="shared" ref="J19" si="7">+J18/I18-1</f>
        <v>-1.0063366576374855E-2</v>
      </c>
      <c r="K19" s="739">
        <f t="shared" ref="K19" si="8">+K18/J18-1</f>
        <v>0.39687273762414521</v>
      </c>
      <c r="L19" s="740">
        <f t="shared" ref="L19" si="9">+L18/K18-1</f>
        <v>2.200000000000002E-2</v>
      </c>
      <c r="M19" s="716"/>
      <c r="N19" s="584">
        <f t="shared" ref="N19" si="10">+N18/L18-1</f>
        <v>2.0000000000000018E-2</v>
      </c>
      <c r="O19" s="584">
        <f t="shared" ref="O19" si="11">+O18/N18-1</f>
        <v>2.000000000000024E-2</v>
      </c>
      <c r="P19" s="583">
        <f t="shared" ref="P19" si="12">+P18/O18-1</f>
        <v>1.9999999999999796E-2</v>
      </c>
      <c r="Q19" s="520"/>
      <c r="R19" s="739">
        <f>+R18/J18-1</f>
        <v>0.39687273762414521</v>
      </c>
      <c r="S19" s="116"/>
      <c r="T19" s="116"/>
      <c r="U19" s="116"/>
      <c r="V19" s="116"/>
      <c r="W19" s="117"/>
    </row>
    <row r="20" spans="1:23" ht="12" customHeight="1">
      <c r="A20" s="114"/>
      <c r="B20" s="114"/>
      <c r="C20" s="974"/>
      <c r="D20" s="974"/>
      <c r="E20" s="974"/>
      <c r="F20" s="114"/>
      <c r="G20" s="114"/>
      <c r="H20" s="114"/>
      <c r="I20" s="114"/>
      <c r="J20" s="114"/>
      <c r="K20" s="789"/>
      <c r="L20" s="789"/>
      <c r="M20" s="119"/>
      <c r="N20" s="1"/>
      <c r="O20" s="1"/>
      <c r="P20" s="1"/>
      <c r="Q20" s="520"/>
      <c r="R20" s="789"/>
      <c r="S20" s="119"/>
      <c r="T20" s="119"/>
      <c r="U20" s="119"/>
      <c r="V20" s="119"/>
      <c r="W20" s="119"/>
    </row>
    <row r="21" spans="1:23" ht="15.6" customHeight="1">
      <c r="A21" s="91" t="s">
        <v>100</v>
      </c>
      <c r="B21" s="91"/>
      <c r="C21" s="969"/>
      <c r="D21" s="969"/>
      <c r="E21" s="969"/>
      <c r="F21" s="91"/>
      <c r="G21" s="91"/>
      <c r="H21" s="91"/>
      <c r="I21" s="91"/>
      <c r="J21" s="91"/>
      <c r="K21" s="790"/>
      <c r="L21" s="790"/>
      <c r="M21" s="93"/>
      <c r="N21" s="5"/>
      <c r="O21" s="5"/>
      <c r="P21" s="7"/>
      <c r="Q21" s="520"/>
      <c r="R21" s="790"/>
      <c r="S21" s="93"/>
      <c r="T21" s="93"/>
      <c r="U21" s="94"/>
      <c r="V21" s="94"/>
      <c r="W21" s="94"/>
    </row>
    <row r="22" spans="1:23" ht="12" customHeight="1">
      <c r="A22" s="96" t="s">
        <v>101</v>
      </c>
      <c r="B22" s="102"/>
      <c r="C22" s="971"/>
      <c r="D22" s="971"/>
      <c r="E22" s="971"/>
      <c r="F22" s="523"/>
      <c r="G22" s="504"/>
      <c r="H22" s="504"/>
      <c r="I22" s="504"/>
      <c r="J22" s="956"/>
      <c r="K22" s="791"/>
      <c r="L22" s="792"/>
      <c r="M22" s="524"/>
      <c r="N22" s="524"/>
      <c r="O22" s="524"/>
      <c r="P22" s="525"/>
      <c r="Q22" s="520"/>
      <c r="R22" s="791"/>
      <c r="S22" s="524"/>
      <c r="T22" s="524"/>
      <c r="U22" s="526"/>
      <c r="V22" s="527"/>
      <c r="W22" s="528"/>
    </row>
    <row r="23" spans="1:23" ht="12" customHeight="1">
      <c r="A23" s="120" t="s">
        <v>102</v>
      </c>
      <c r="B23" s="102"/>
      <c r="C23" s="971"/>
      <c r="D23" s="971"/>
      <c r="E23" s="971"/>
      <c r="F23" s="480"/>
      <c r="G23" s="481"/>
      <c r="H23" s="481"/>
      <c r="I23" s="481"/>
      <c r="J23" s="708"/>
      <c r="K23" s="793"/>
      <c r="L23" s="794"/>
      <c r="M23" s="482"/>
      <c r="N23" s="482"/>
      <c r="O23" s="482"/>
      <c r="P23" s="483"/>
      <c r="Q23" s="520"/>
      <c r="R23" s="793"/>
      <c r="S23" s="482"/>
      <c r="T23" s="482"/>
      <c r="U23" s="495"/>
      <c r="V23" s="513"/>
      <c r="W23" s="514"/>
    </row>
    <row r="24" spans="1:23" ht="12" customHeight="1">
      <c r="A24" s="120" t="s">
        <v>103</v>
      </c>
      <c r="B24" s="102"/>
      <c r="C24" s="971"/>
      <c r="D24" s="971"/>
      <c r="E24" s="971"/>
      <c r="F24" s="480"/>
      <c r="G24" s="481"/>
      <c r="H24" s="481"/>
      <c r="I24" s="481"/>
      <c r="J24" s="708"/>
      <c r="K24" s="793"/>
      <c r="L24" s="794"/>
      <c r="M24" s="482"/>
      <c r="N24" s="482"/>
      <c r="O24" s="482"/>
      <c r="P24" s="483"/>
      <c r="Q24" s="520"/>
      <c r="R24" s="793"/>
      <c r="S24" s="482"/>
      <c r="T24" s="482"/>
      <c r="U24" s="495"/>
      <c r="V24" s="513"/>
      <c r="W24" s="514"/>
    </row>
    <row r="25" spans="1:23" ht="12" customHeight="1">
      <c r="A25" s="120" t="s">
        <v>104</v>
      </c>
      <c r="B25" s="102"/>
      <c r="C25" s="971"/>
      <c r="D25" s="971"/>
      <c r="E25" s="971"/>
      <c r="F25" s="480"/>
      <c r="G25" s="481"/>
      <c r="H25" s="481"/>
      <c r="I25" s="481"/>
      <c r="J25" s="708"/>
      <c r="K25" s="793"/>
      <c r="L25" s="794"/>
      <c r="M25" s="482"/>
      <c r="N25" s="482"/>
      <c r="O25" s="482"/>
      <c r="P25" s="483"/>
      <c r="Q25" s="520"/>
      <c r="R25" s="793"/>
      <c r="S25" s="482"/>
      <c r="T25" s="482"/>
      <c r="U25" s="495"/>
      <c r="V25" s="513"/>
      <c r="W25" s="514"/>
    </row>
    <row r="26" spans="1:23" ht="12" customHeight="1">
      <c r="A26" s="120" t="s">
        <v>105</v>
      </c>
      <c r="B26" s="102"/>
      <c r="C26" s="971"/>
      <c r="D26" s="971"/>
      <c r="E26" s="971"/>
      <c r="F26" s="480"/>
      <c r="G26" s="481"/>
      <c r="H26" s="481"/>
      <c r="I26" s="481"/>
      <c r="J26" s="708"/>
      <c r="K26" s="793"/>
      <c r="L26" s="794"/>
      <c r="M26" s="482"/>
      <c r="N26" s="482"/>
      <c r="O26" s="482"/>
      <c r="P26" s="483"/>
      <c r="Q26" s="520"/>
      <c r="R26" s="793"/>
      <c r="S26" s="482"/>
      <c r="T26" s="482"/>
      <c r="U26" s="495"/>
      <c r="V26" s="513"/>
      <c r="W26" s="514"/>
    </row>
    <row r="27" spans="1:23" ht="12" customHeight="1">
      <c r="A27" s="120" t="s">
        <v>106</v>
      </c>
      <c r="B27" s="102"/>
      <c r="C27" s="971"/>
      <c r="D27" s="971"/>
      <c r="E27" s="971"/>
      <c r="F27" s="480"/>
      <c r="G27" s="481"/>
      <c r="H27" s="481"/>
      <c r="I27" s="481"/>
      <c r="J27" s="708"/>
      <c r="K27" s="793"/>
      <c r="L27" s="794"/>
      <c r="M27" s="482"/>
      <c r="N27" s="482"/>
      <c r="O27" s="482"/>
      <c r="P27" s="483"/>
      <c r="Q27" s="520"/>
      <c r="R27" s="793"/>
      <c r="S27" s="482"/>
      <c r="T27" s="482"/>
      <c r="U27" s="495"/>
      <c r="V27" s="513"/>
      <c r="W27" s="514"/>
    </row>
    <row r="28" spans="1:23" ht="12" customHeight="1">
      <c r="A28" s="120" t="s">
        <v>107</v>
      </c>
      <c r="B28" s="102"/>
      <c r="C28" s="971"/>
      <c r="D28" s="971"/>
      <c r="E28" s="971"/>
      <c r="F28" s="125">
        <v>6988.4769807511202</v>
      </c>
      <c r="G28" s="563">
        <v>5045</v>
      </c>
      <c r="H28" s="563">
        <v>5423.8119999999999</v>
      </c>
      <c r="I28" s="563">
        <v>5748.7719999999999</v>
      </c>
      <c r="J28" s="706">
        <v>5690.92</v>
      </c>
      <c r="K28" s="747">
        <v>7949.491</v>
      </c>
      <c r="L28" s="748">
        <v>8124.3798020000004</v>
      </c>
      <c r="M28" s="563">
        <f t="shared" ref="M28" si="13">K28+L28</f>
        <v>16073.870802000001</v>
      </c>
      <c r="N28" s="632">
        <v>8286.8673980399999</v>
      </c>
      <c r="O28" s="632">
        <v>8452.6047460008012</v>
      </c>
      <c r="P28" s="633">
        <v>8621.6568409208157</v>
      </c>
      <c r="Q28" s="520"/>
      <c r="R28" s="747">
        <v>7949.491</v>
      </c>
      <c r="S28" s="126"/>
      <c r="T28" s="563"/>
      <c r="U28" s="105"/>
      <c r="V28" s="127"/>
      <c r="W28" s="128"/>
    </row>
    <row r="29" spans="1:23" ht="12" customHeight="1">
      <c r="A29" s="120" t="s">
        <v>108</v>
      </c>
      <c r="B29" s="102"/>
      <c r="C29" s="971"/>
      <c r="D29" s="971"/>
      <c r="E29" s="971"/>
      <c r="F29" s="480"/>
      <c r="G29" s="481"/>
      <c r="H29" s="481"/>
      <c r="I29" s="481"/>
      <c r="J29" s="708"/>
      <c r="K29" s="733"/>
      <c r="L29" s="734"/>
      <c r="M29" s="481"/>
      <c r="N29" s="651"/>
      <c r="O29" s="651"/>
      <c r="P29" s="631"/>
      <c r="Q29" s="520"/>
      <c r="R29" s="733"/>
      <c r="S29" s="482"/>
      <c r="T29" s="482"/>
      <c r="U29" s="495"/>
      <c r="V29" s="513"/>
      <c r="W29" s="514"/>
    </row>
    <row r="30" spans="1:23" ht="12" customHeight="1">
      <c r="A30" s="120" t="s">
        <v>109</v>
      </c>
      <c r="B30" s="102"/>
      <c r="C30" s="971"/>
      <c r="D30" s="971"/>
      <c r="E30" s="971"/>
      <c r="F30" s="480"/>
      <c r="G30" s="481"/>
      <c r="H30" s="481"/>
      <c r="I30" s="481"/>
      <c r="J30" s="708"/>
      <c r="K30" s="733"/>
      <c r="L30" s="734"/>
      <c r="M30" s="481"/>
      <c r="N30" s="651"/>
      <c r="O30" s="651"/>
      <c r="P30" s="631"/>
      <c r="Q30" s="520"/>
      <c r="R30" s="733"/>
      <c r="S30" s="482"/>
      <c r="T30" s="482"/>
      <c r="U30" s="495"/>
      <c r="V30" s="513"/>
      <c r="W30" s="514"/>
    </row>
    <row r="31" spans="1:23" s="112" customFormat="1" ht="12" customHeight="1">
      <c r="A31" s="130" t="s">
        <v>110</v>
      </c>
      <c r="B31" s="108"/>
      <c r="C31" s="972"/>
      <c r="D31" s="972"/>
      <c r="E31" s="972"/>
      <c r="F31" s="109">
        <f t="shared" ref="F31:H31" si="14">SUM(F22:F30)</f>
        <v>6988.4769807511202</v>
      </c>
      <c r="G31" s="567">
        <f t="shared" si="14"/>
        <v>5045</v>
      </c>
      <c r="H31" s="567">
        <f t="shared" si="14"/>
        <v>5423.8119999999999</v>
      </c>
      <c r="I31" s="567">
        <f>SUM(I22:I30)</f>
        <v>5748.7719999999999</v>
      </c>
      <c r="J31" s="219">
        <f t="shared" ref="J31:P31" si="15">SUM(J22:J30)</f>
        <v>5690.92</v>
      </c>
      <c r="K31" s="737">
        <f t="shared" si="15"/>
        <v>7949.491</v>
      </c>
      <c r="L31" s="738">
        <f t="shared" si="15"/>
        <v>8124.3798020000004</v>
      </c>
      <c r="M31" s="567">
        <f t="shared" ref="M31" si="16">SUM(M22:M30)</f>
        <v>16073.870802000001</v>
      </c>
      <c r="N31" s="582">
        <f t="shared" si="15"/>
        <v>8286.8673980399999</v>
      </c>
      <c r="O31" s="582">
        <f t="shared" si="15"/>
        <v>8452.6047460008012</v>
      </c>
      <c r="P31" s="581">
        <f t="shared" si="15"/>
        <v>8621.6568409208157</v>
      </c>
      <c r="Q31" s="520"/>
      <c r="R31" s="737">
        <f t="shared" ref="R31" si="17">SUM(R22:R30)</f>
        <v>7949.491</v>
      </c>
      <c r="S31" s="110"/>
      <c r="T31" s="567"/>
      <c r="U31" s="110"/>
      <c r="V31" s="110"/>
      <c r="W31" s="219"/>
    </row>
    <row r="32" spans="1:23" ht="12" customHeight="1">
      <c r="A32" s="113" t="s">
        <v>99</v>
      </c>
      <c r="B32" s="529"/>
      <c r="C32" s="973"/>
      <c r="D32" s="973"/>
      <c r="E32" s="973"/>
      <c r="F32" s="115"/>
      <c r="G32" s="116">
        <f t="shared" ref="G32:I32" si="18">+G31/F31-1</f>
        <v>-0.27809735742196517</v>
      </c>
      <c r="H32" s="116">
        <f t="shared" si="18"/>
        <v>7.5086620416253691E-2</v>
      </c>
      <c r="I32" s="116">
        <f t="shared" si="18"/>
        <v>5.9913581075450306E-2</v>
      </c>
      <c r="J32" s="117">
        <f t="shared" ref="J32" si="19">+J31/I31-1</f>
        <v>-1.0063366576374855E-2</v>
      </c>
      <c r="K32" s="739">
        <f t="shared" ref="K32" si="20">+K31/J31-1</f>
        <v>0.39687273762414521</v>
      </c>
      <c r="L32" s="740">
        <f t="shared" ref="L32" si="21">+L31/K31-1</f>
        <v>2.200000000000002E-2</v>
      </c>
      <c r="M32" s="716"/>
      <c r="N32" s="584">
        <f t="shared" ref="N32" si="22">+N31/L31-1</f>
        <v>2.0000000000000018E-2</v>
      </c>
      <c r="O32" s="584">
        <f t="shared" ref="O32" si="23">+O31/N31-1</f>
        <v>2.000000000000024E-2</v>
      </c>
      <c r="P32" s="583">
        <f t="shared" ref="P32" si="24">+P31/O31-1</f>
        <v>1.9999999999999796E-2</v>
      </c>
      <c r="Q32" s="520"/>
      <c r="R32" s="739">
        <f>+R31/J31-1</f>
        <v>0.39687273762414521</v>
      </c>
      <c r="S32" s="116"/>
      <c r="T32" s="116"/>
      <c r="U32" s="116"/>
      <c r="V32" s="116"/>
      <c r="W32" s="117"/>
    </row>
    <row r="33" spans="1:23" ht="12" customHeight="1">
      <c r="A33" s="114"/>
      <c r="B33" s="133"/>
      <c r="C33" s="973"/>
      <c r="D33" s="973"/>
      <c r="E33" s="973"/>
      <c r="F33" s="133"/>
      <c r="G33" s="133"/>
      <c r="H33" s="133"/>
      <c r="I33" s="133"/>
      <c r="J33" s="133"/>
      <c r="K33" s="6"/>
      <c r="L33" s="6"/>
      <c r="M33" s="133"/>
      <c r="N33" s="11"/>
      <c r="O33" s="11"/>
      <c r="P33" s="11"/>
      <c r="Q33" s="520"/>
      <c r="R33" s="6"/>
      <c r="S33" s="133"/>
      <c r="T33" s="133"/>
      <c r="U33" s="119"/>
      <c r="V33" s="119"/>
      <c r="W33" s="119"/>
    </row>
    <row r="34" spans="1:23" ht="15.6" customHeight="1">
      <c r="A34" s="91" t="s">
        <v>111</v>
      </c>
      <c r="B34" s="91"/>
      <c r="C34" s="969"/>
      <c r="D34" s="969"/>
      <c r="E34" s="969"/>
      <c r="F34" s="91"/>
      <c r="G34" s="91"/>
      <c r="H34" s="91"/>
      <c r="I34" s="91"/>
      <c r="J34" s="91"/>
      <c r="K34" s="790"/>
      <c r="L34" s="790"/>
      <c r="M34" s="93"/>
      <c r="N34" s="5"/>
      <c r="O34" s="5"/>
      <c r="P34" s="7"/>
      <c r="Q34" s="520"/>
      <c r="R34" s="790"/>
      <c r="S34" s="93"/>
      <c r="T34" s="93"/>
      <c r="U34" s="93"/>
      <c r="V34" s="93"/>
      <c r="W34" s="93"/>
    </row>
    <row r="35" spans="1:23" ht="12" customHeight="1">
      <c r="A35" s="91" t="s">
        <v>112</v>
      </c>
      <c r="B35" s="91"/>
      <c r="C35" s="969"/>
      <c r="D35" s="969"/>
      <c r="E35" s="969"/>
      <c r="F35" s="91"/>
      <c r="G35" s="91"/>
      <c r="H35" s="91"/>
      <c r="I35" s="91"/>
      <c r="J35" s="91"/>
      <c r="K35" s="790"/>
      <c r="L35" s="790"/>
      <c r="M35" s="93"/>
      <c r="N35" s="5"/>
      <c r="O35" s="5"/>
      <c r="P35" s="5"/>
      <c r="Q35" s="520"/>
      <c r="R35" s="790"/>
      <c r="S35" s="93"/>
      <c r="T35" s="93"/>
      <c r="U35" s="93"/>
      <c r="V35" s="93"/>
      <c r="W35" s="93"/>
    </row>
    <row r="36" spans="1:23" s="83" customFormat="1" ht="12" customHeight="1">
      <c r="A36" s="134" t="s">
        <v>113</v>
      </c>
      <c r="B36" s="959"/>
      <c r="C36" s="971"/>
      <c r="D36" s="971"/>
      <c r="E36" s="971"/>
      <c r="F36" s="121"/>
      <c r="G36" s="564"/>
      <c r="H36" s="564"/>
      <c r="I36" s="564"/>
      <c r="J36" s="707"/>
      <c r="K36" s="652">
        <v>0</v>
      </c>
      <c r="L36" s="652">
        <v>0</v>
      </c>
      <c r="M36" s="504"/>
      <c r="N36" s="636">
        <v>0</v>
      </c>
      <c r="O36" s="636">
        <v>0</v>
      </c>
      <c r="P36" s="637">
        <v>0</v>
      </c>
      <c r="Q36" s="520"/>
      <c r="R36" s="812">
        <v>0</v>
      </c>
      <c r="S36" s="490"/>
      <c r="T36" s="490"/>
      <c r="U36" s="490"/>
      <c r="V36" s="135"/>
      <c r="W36" s="136"/>
    </row>
    <row r="37" spans="1:23" s="83" customFormat="1" ht="12" customHeight="1">
      <c r="A37" s="137" t="s">
        <v>114</v>
      </c>
      <c r="B37" s="959"/>
      <c r="C37" s="971"/>
      <c r="D37" s="971"/>
      <c r="E37" s="971"/>
      <c r="F37" s="125"/>
      <c r="G37" s="563"/>
      <c r="H37" s="563"/>
      <c r="I37" s="563"/>
      <c r="J37" s="706"/>
      <c r="K37" s="747">
        <v>0</v>
      </c>
      <c r="L37" s="748">
        <v>0</v>
      </c>
      <c r="M37" s="481"/>
      <c r="N37" s="632">
        <v>0</v>
      </c>
      <c r="O37" s="632">
        <v>0</v>
      </c>
      <c r="P37" s="633">
        <v>0</v>
      </c>
      <c r="Q37" s="520"/>
      <c r="R37" s="747">
        <v>0</v>
      </c>
      <c r="S37" s="484"/>
      <c r="T37" s="484"/>
      <c r="U37" s="506"/>
      <c r="V37" s="127"/>
      <c r="W37" s="128"/>
    </row>
    <row r="38" spans="1:23" s="83" customFormat="1" ht="12" customHeight="1">
      <c r="A38" s="137" t="s">
        <v>115</v>
      </c>
      <c r="B38" s="959"/>
      <c r="C38" s="971"/>
      <c r="D38" s="971"/>
      <c r="E38" s="971"/>
      <c r="F38" s="125"/>
      <c r="G38" s="563"/>
      <c r="H38" s="563"/>
      <c r="I38" s="563"/>
      <c r="J38" s="706"/>
      <c r="K38" s="747">
        <v>0</v>
      </c>
      <c r="L38" s="748">
        <v>0</v>
      </c>
      <c r="M38" s="481"/>
      <c r="N38" s="632">
        <v>0</v>
      </c>
      <c r="O38" s="632">
        <v>0</v>
      </c>
      <c r="P38" s="633">
        <v>0</v>
      </c>
      <c r="Q38" s="520"/>
      <c r="R38" s="747">
        <v>0</v>
      </c>
      <c r="S38" s="484"/>
      <c r="T38" s="484"/>
      <c r="U38" s="506"/>
      <c r="V38" s="127"/>
      <c r="W38" s="128"/>
    </row>
    <row r="39" spans="1:23" s="83" customFormat="1" ht="12" customHeight="1">
      <c r="A39" s="138" t="s">
        <v>116</v>
      </c>
      <c r="B39" s="959"/>
      <c r="C39" s="972"/>
      <c r="D39" s="972"/>
      <c r="E39" s="972"/>
      <c r="F39" s="175">
        <f t="shared" ref="F39:G39" si="25">SUM(F36:F38)</f>
        <v>0</v>
      </c>
      <c r="G39" s="176">
        <f t="shared" si="25"/>
        <v>0</v>
      </c>
      <c r="H39" s="176">
        <f>SUM(H36:H38)</f>
        <v>0</v>
      </c>
      <c r="I39" s="176">
        <f t="shared" ref="I39:P39" si="26">SUM(I36:I38)</f>
        <v>0</v>
      </c>
      <c r="J39" s="220">
        <f t="shared" si="26"/>
        <v>0</v>
      </c>
      <c r="K39" s="754">
        <f t="shared" si="26"/>
        <v>0</v>
      </c>
      <c r="L39" s="755">
        <f t="shared" si="26"/>
        <v>0</v>
      </c>
      <c r="M39" s="717"/>
      <c r="N39" s="607">
        <f t="shared" si="26"/>
        <v>0</v>
      </c>
      <c r="O39" s="607">
        <f t="shared" si="26"/>
        <v>0</v>
      </c>
      <c r="P39" s="608">
        <f t="shared" si="26"/>
        <v>0</v>
      </c>
      <c r="Q39" s="520"/>
      <c r="R39" s="754">
        <f t="shared" ref="R39" si="27">SUM(R36:R38)</f>
        <v>0</v>
      </c>
      <c r="S39" s="176"/>
      <c r="T39" s="176"/>
      <c r="U39" s="176"/>
      <c r="V39" s="176"/>
      <c r="W39" s="220"/>
    </row>
    <row r="40" spans="1:23" ht="12" customHeight="1">
      <c r="A40" s="91" t="s">
        <v>117</v>
      </c>
      <c r="B40" s="91"/>
      <c r="C40" s="969"/>
      <c r="D40" s="969"/>
      <c r="E40" s="969"/>
      <c r="F40" s="91"/>
      <c r="G40" s="91"/>
      <c r="H40" s="91"/>
      <c r="I40" s="91"/>
      <c r="J40" s="91"/>
      <c r="K40" s="795"/>
      <c r="L40" s="795"/>
      <c r="M40" s="142"/>
      <c r="N40" s="9"/>
      <c r="O40" s="9"/>
      <c r="P40" s="9"/>
      <c r="Q40" s="520"/>
      <c r="R40" s="795"/>
      <c r="S40" s="142"/>
      <c r="T40" s="142"/>
      <c r="U40" s="143"/>
      <c r="V40" s="143"/>
      <c r="W40" s="143"/>
    </row>
    <row r="41" spans="1:23" s="83" customFormat="1" ht="12" customHeight="1">
      <c r="A41" s="144" t="s">
        <v>118</v>
      </c>
      <c r="B41" s="959"/>
      <c r="C41" s="975"/>
      <c r="D41" s="975"/>
      <c r="E41" s="975"/>
      <c r="F41" s="995"/>
      <c r="G41" s="145"/>
      <c r="H41" s="145"/>
      <c r="I41" s="145"/>
      <c r="J41" s="998"/>
      <c r="K41" s="757" t="e">
        <f t="shared" ref="K41:P41" si="28">K16/K39</f>
        <v>#DIV/0!</v>
      </c>
      <c r="L41" s="758" t="e">
        <f t="shared" si="28"/>
        <v>#DIV/0!</v>
      </c>
      <c r="M41" s="504"/>
      <c r="N41" s="645" t="e">
        <f t="shared" si="28"/>
        <v>#DIV/0!</v>
      </c>
      <c r="O41" s="645" t="e">
        <f t="shared" si="28"/>
        <v>#DIV/0!</v>
      </c>
      <c r="P41" s="646" t="e">
        <f t="shared" si="28"/>
        <v>#DIV/0!</v>
      </c>
      <c r="Q41" s="520"/>
      <c r="R41" s="757" t="e">
        <f t="shared" ref="R41" si="29">R16/R39</f>
        <v>#DIV/0!</v>
      </c>
      <c r="S41" s="145"/>
      <c r="T41" s="145"/>
      <c r="U41" s="496"/>
      <c r="V41" s="146"/>
      <c r="W41" s="147"/>
    </row>
    <row r="42" spans="1:23" s="83" customFormat="1" ht="12" customHeight="1">
      <c r="A42" s="148" t="s">
        <v>119</v>
      </c>
      <c r="B42" s="959"/>
      <c r="C42" s="975"/>
      <c r="D42" s="975"/>
      <c r="E42" s="975"/>
      <c r="F42" s="149"/>
      <c r="G42" s="566"/>
      <c r="H42" s="566"/>
      <c r="I42" s="566"/>
      <c r="J42" s="996"/>
      <c r="K42" s="759">
        <v>0</v>
      </c>
      <c r="L42" s="760">
        <v>0</v>
      </c>
      <c r="M42" s="481"/>
      <c r="N42" s="638">
        <v>0</v>
      </c>
      <c r="O42" s="638">
        <v>0</v>
      </c>
      <c r="P42" s="639">
        <v>0</v>
      </c>
      <c r="Q42" s="520"/>
      <c r="R42" s="759">
        <v>0</v>
      </c>
      <c r="S42" s="497"/>
      <c r="T42" s="497"/>
      <c r="U42" s="498"/>
      <c r="V42" s="151"/>
      <c r="W42" s="152"/>
    </row>
    <row r="43" spans="1:23" s="83" customFormat="1" ht="12" customHeight="1">
      <c r="A43" s="148" t="s">
        <v>120</v>
      </c>
      <c r="B43" s="959"/>
      <c r="C43" s="975"/>
      <c r="D43" s="975"/>
      <c r="E43" s="975"/>
      <c r="F43" s="149"/>
      <c r="G43" s="566"/>
      <c r="H43" s="566"/>
      <c r="I43" s="566"/>
      <c r="J43" s="996"/>
      <c r="K43" s="759">
        <v>0</v>
      </c>
      <c r="L43" s="760">
        <v>0</v>
      </c>
      <c r="M43" s="481"/>
      <c r="N43" s="638">
        <v>0</v>
      </c>
      <c r="O43" s="638">
        <v>0</v>
      </c>
      <c r="P43" s="639">
        <v>0</v>
      </c>
      <c r="Q43" s="520"/>
      <c r="R43" s="759">
        <v>0</v>
      </c>
      <c r="S43" s="497"/>
      <c r="T43" s="497"/>
      <c r="U43" s="498"/>
      <c r="V43" s="151"/>
      <c r="W43" s="152"/>
    </row>
    <row r="44" spans="1:23" s="83" customFormat="1" ht="12" customHeight="1">
      <c r="A44" s="153" t="s">
        <v>121</v>
      </c>
      <c r="B44" s="959"/>
      <c r="C44" s="975"/>
      <c r="D44" s="975"/>
      <c r="E44" s="975"/>
      <c r="F44" s="154"/>
      <c r="G44" s="568"/>
      <c r="H44" s="568"/>
      <c r="I44" s="568"/>
      <c r="J44" s="997"/>
      <c r="K44" s="761">
        <v>0</v>
      </c>
      <c r="L44" s="762">
        <v>0</v>
      </c>
      <c r="M44" s="717"/>
      <c r="N44" s="640">
        <v>0</v>
      </c>
      <c r="O44" s="640">
        <v>0</v>
      </c>
      <c r="P44" s="641">
        <v>0</v>
      </c>
      <c r="Q44" s="520"/>
      <c r="R44" s="761">
        <v>0</v>
      </c>
      <c r="S44" s="499"/>
      <c r="T44" s="499"/>
      <c r="U44" s="500"/>
      <c r="V44" s="157"/>
      <c r="W44" s="158"/>
    </row>
    <row r="45" spans="1:23" s="83" customFormat="1" ht="5.65" customHeight="1">
      <c r="A45" s="93"/>
      <c r="B45" s="79"/>
      <c r="C45" s="963"/>
      <c r="D45" s="963"/>
      <c r="E45" s="963"/>
      <c r="F45" s="79"/>
      <c r="G45" s="79"/>
      <c r="H45" s="79"/>
      <c r="I45" s="79"/>
      <c r="J45" s="79"/>
      <c r="K45" s="796"/>
      <c r="L45" s="796"/>
      <c r="M45" s="159"/>
      <c r="N45" s="3"/>
      <c r="O45" s="3"/>
      <c r="P45" s="3"/>
      <c r="Q45" s="520"/>
      <c r="R45" s="796"/>
      <c r="S45" s="159"/>
      <c r="T45" s="159"/>
      <c r="U45" s="160"/>
      <c r="V45" s="161"/>
      <c r="W45" s="161"/>
    </row>
    <row r="46" spans="1:23" s="451" customFormat="1" ht="12" customHeight="1">
      <c r="A46" s="162" t="s">
        <v>122</v>
      </c>
      <c r="B46" s="79"/>
      <c r="C46" s="963"/>
      <c r="D46" s="963"/>
      <c r="E46" s="963"/>
      <c r="F46" s="79"/>
      <c r="G46" s="79"/>
      <c r="H46" s="79"/>
      <c r="I46" s="79"/>
      <c r="J46" s="79"/>
      <c r="K46" s="797"/>
      <c r="L46" s="797"/>
      <c r="M46" s="118"/>
      <c r="N46" s="13"/>
      <c r="O46" s="13"/>
      <c r="P46" s="13"/>
      <c r="Q46" s="520"/>
      <c r="R46" s="797"/>
      <c r="S46" s="118"/>
      <c r="T46" s="118"/>
      <c r="U46" s="449"/>
      <c r="V46" s="449"/>
      <c r="W46" s="449"/>
    </row>
    <row r="47" spans="1:23" s="450" customFormat="1" ht="12" customHeight="1">
      <c r="A47" s="163" t="s">
        <v>123</v>
      </c>
      <c r="B47" s="960"/>
      <c r="C47" s="976"/>
      <c r="D47" s="976"/>
      <c r="E47" s="976"/>
      <c r="F47" s="1074"/>
      <c r="G47" s="1068"/>
      <c r="H47" s="1068"/>
      <c r="I47" s="1068"/>
      <c r="J47" s="1075"/>
      <c r="K47" s="1070">
        <v>0</v>
      </c>
      <c r="L47" s="1071">
        <v>0</v>
      </c>
      <c r="M47" s="1068">
        <f t="shared" ref="M47" si="30">K47+L47</f>
        <v>0</v>
      </c>
      <c r="N47" s="1072">
        <v>0</v>
      </c>
      <c r="O47" s="1072">
        <v>0</v>
      </c>
      <c r="P47" s="1073">
        <v>0</v>
      </c>
      <c r="Q47" s="1069"/>
      <c r="R47" s="1070">
        <v>0</v>
      </c>
      <c r="S47" s="164"/>
      <c r="T47" s="565"/>
      <c r="U47" s="452"/>
      <c r="V47" s="452"/>
      <c r="W47" s="453"/>
    </row>
    <row r="48" spans="1:23" s="83" customFormat="1" ht="5.65" customHeight="1">
      <c r="A48" s="93"/>
      <c r="B48" s="79"/>
      <c r="C48" s="963"/>
      <c r="D48" s="963"/>
      <c r="E48" s="963"/>
      <c r="F48" s="79"/>
      <c r="G48" s="79"/>
      <c r="H48" s="79"/>
      <c r="I48" s="79"/>
      <c r="J48" s="79"/>
      <c r="K48" s="796"/>
      <c r="L48" s="796"/>
      <c r="M48" s="159"/>
      <c r="N48" s="3"/>
      <c r="O48" s="3"/>
      <c r="P48" s="3"/>
      <c r="Q48" s="520"/>
      <c r="R48" s="796"/>
      <c r="S48" s="159"/>
      <c r="T48" s="159"/>
      <c r="U48" s="160"/>
      <c r="V48" s="161"/>
      <c r="W48" s="161"/>
    </row>
    <row r="49" spans="1:23" s="459" customFormat="1" ht="12" customHeight="1">
      <c r="A49" s="166" t="s">
        <v>124</v>
      </c>
      <c r="B49" s="75"/>
      <c r="C49" s="963"/>
      <c r="D49" s="963"/>
      <c r="E49" s="963"/>
      <c r="F49" s="75"/>
      <c r="G49" s="75"/>
      <c r="H49" s="75"/>
      <c r="I49" s="75"/>
      <c r="J49" s="75"/>
      <c r="K49" s="798"/>
      <c r="L49" s="798"/>
      <c r="M49" s="167"/>
      <c r="N49" s="14"/>
      <c r="O49" s="14"/>
      <c r="P49" s="14"/>
      <c r="Q49" s="520"/>
      <c r="R49" s="798"/>
      <c r="S49" s="167"/>
      <c r="T49" s="167"/>
      <c r="U49" s="462"/>
      <c r="V49" s="462"/>
      <c r="W49" s="462"/>
    </row>
    <row r="50" spans="1:23" s="83" customFormat="1" ht="12" customHeight="1">
      <c r="A50" s="134" t="s">
        <v>125</v>
      </c>
      <c r="B50" s="959"/>
      <c r="C50" s="971"/>
      <c r="D50" s="971"/>
      <c r="E50" s="971"/>
      <c r="F50" s="523"/>
      <c r="G50" s="504"/>
      <c r="H50" s="504"/>
      <c r="I50" s="504"/>
      <c r="J50" s="956"/>
      <c r="K50" s="804">
        <v>0</v>
      </c>
      <c r="L50" s="805">
        <v>0</v>
      </c>
      <c r="M50" s="564">
        <f t="shared" ref="M50:M52" si="31">K50+L50</f>
        <v>0</v>
      </c>
      <c r="N50" s="490">
        <v>0</v>
      </c>
      <c r="O50" s="490">
        <v>0</v>
      </c>
      <c r="P50" s="491">
        <v>0</v>
      </c>
      <c r="Q50" s="520"/>
      <c r="R50" s="804">
        <v>0</v>
      </c>
      <c r="S50" s="122"/>
      <c r="T50" s="564"/>
      <c r="U50" s="122"/>
      <c r="V50" s="135"/>
      <c r="W50" s="136"/>
    </row>
    <row r="51" spans="1:23" s="83" customFormat="1" ht="12" customHeight="1">
      <c r="A51" s="137" t="s">
        <v>126</v>
      </c>
      <c r="B51" s="959"/>
      <c r="C51" s="971"/>
      <c r="D51" s="971"/>
      <c r="E51" s="971"/>
      <c r="F51" s="480"/>
      <c r="G51" s="481"/>
      <c r="H51" s="481"/>
      <c r="I51" s="481"/>
      <c r="J51" s="708"/>
      <c r="K51" s="813">
        <v>0</v>
      </c>
      <c r="L51" s="814">
        <v>0</v>
      </c>
      <c r="M51" s="563">
        <f t="shared" si="31"/>
        <v>0</v>
      </c>
      <c r="N51" s="484">
        <v>0</v>
      </c>
      <c r="O51" s="484">
        <v>0</v>
      </c>
      <c r="P51" s="485">
        <v>0</v>
      </c>
      <c r="Q51" s="520"/>
      <c r="R51" s="813">
        <v>0</v>
      </c>
      <c r="S51" s="126"/>
      <c r="T51" s="563"/>
      <c r="U51" s="127"/>
      <c r="V51" s="127"/>
      <c r="W51" s="128"/>
    </row>
    <row r="52" spans="1:23" s="83" customFormat="1" ht="12" customHeight="1">
      <c r="A52" s="153" t="s">
        <v>127</v>
      </c>
      <c r="B52" s="959"/>
      <c r="C52" s="975"/>
      <c r="D52" s="975"/>
      <c r="E52" s="975"/>
      <c r="F52" s="444"/>
      <c r="G52" s="445"/>
      <c r="H52" s="445"/>
      <c r="I52" s="445"/>
      <c r="J52" s="1022"/>
      <c r="K52" s="938">
        <v>0</v>
      </c>
      <c r="L52" s="939">
        <v>0</v>
      </c>
      <c r="M52" s="139">
        <f t="shared" si="31"/>
        <v>0</v>
      </c>
      <c r="N52" s="940">
        <v>0</v>
      </c>
      <c r="O52" s="940">
        <v>0</v>
      </c>
      <c r="P52" s="941">
        <v>0</v>
      </c>
      <c r="Q52" s="520"/>
      <c r="R52" s="938">
        <v>0</v>
      </c>
      <c r="S52" s="155"/>
      <c r="T52" s="568"/>
      <c r="U52" s="156"/>
      <c r="V52" s="157"/>
      <c r="W52" s="158"/>
    </row>
    <row r="53" spans="1:23" s="83" customFormat="1" ht="5.65" customHeight="1">
      <c r="A53" s="93"/>
      <c r="B53" s="79"/>
      <c r="C53" s="963"/>
      <c r="D53" s="963"/>
      <c r="E53" s="963"/>
      <c r="F53" s="79"/>
      <c r="G53" s="79"/>
      <c r="H53" s="79"/>
      <c r="I53" s="79"/>
      <c r="J53" s="79"/>
      <c r="K53" s="796"/>
      <c r="L53" s="796"/>
      <c r="M53" s="159"/>
      <c r="N53" s="3"/>
      <c r="O53" s="3"/>
      <c r="P53" s="3"/>
      <c r="Q53" s="520"/>
      <c r="R53" s="796"/>
      <c r="S53" s="159"/>
      <c r="T53" s="159"/>
      <c r="U53" s="160"/>
      <c r="V53" s="161"/>
      <c r="W53" s="161"/>
    </row>
    <row r="54" spans="1:23" s="459" customFormat="1" ht="12" customHeight="1">
      <c r="A54" s="166" t="s">
        <v>128</v>
      </c>
      <c r="B54" s="75"/>
      <c r="C54" s="963"/>
      <c r="D54" s="963"/>
      <c r="E54" s="963"/>
      <c r="F54" s="75"/>
      <c r="G54" s="75"/>
      <c r="H54" s="75"/>
      <c r="I54" s="75"/>
      <c r="J54" s="75"/>
      <c r="K54" s="798"/>
      <c r="L54" s="798"/>
      <c r="M54" s="167"/>
      <c r="N54" s="14"/>
      <c r="O54" s="14"/>
      <c r="P54" s="14"/>
      <c r="Q54" s="520"/>
      <c r="R54" s="798"/>
      <c r="S54" s="167"/>
      <c r="T54" s="167"/>
      <c r="U54" s="462"/>
      <c r="V54" s="462"/>
      <c r="W54" s="462"/>
    </row>
    <row r="55" spans="1:23" s="463" customFormat="1" ht="12" customHeight="1">
      <c r="A55" s="169" t="s">
        <v>129</v>
      </c>
      <c r="B55" s="960"/>
      <c r="C55" s="976"/>
      <c r="D55" s="976"/>
      <c r="E55" s="976"/>
      <c r="F55" s="1001"/>
      <c r="G55" s="509"/>
      <c r="H55" s="509"/>
      <c r="I55" s="509"/>
      <c r="J55" s="1029"/>
      <c r="K55" s="799"/>
      <c r="L55" s="800"/>
      <c r="M55" s="509"/>
      <c r="N55" s="8"/>
      <c r="O55" s="8"/>
      <c r="P55" s="10"/>
      <c r="Q55" s="520"/>
      <c r="R55" s="799"/>
      <c r="S55" s="509"/>
      <c r="T55" s="509"/>
      <c r="U55" s="511"/>
      <c r="V55" s="511"/>
      <c r="W55" s="512"/>
    </row>
    <row r="56" spans="1:23" s="83" customFormat="1" ht="12" customHeight="1">
      <c r="A56" s="137" t="s">
        <v>130</v>
      </c>
      <c r="B56" s="959"/>
      <c r="C56" s="971"/>
      <c r="D56" s="971"/>
      <c r="E56" s="971"/>
      <c r="F56" s="480"/>
      <c r="G56" s="481"/>
      <c r="H56" s="481"/>
      <c r="I56" s="481"/>
      <c r="J56" s="708"/>
      <c r="K56" s="793"/>
      <c r="L56" s="794"/>
      <c r="M56" s="481"/>
      <c r="N56" s="482"/>
      <c r="O56" s="482"/>
      <c r="P56" s="483"/>
      <c r="Q56" s="520"/>
      <c r="R56" s="793"/>
      <c r="S56" s="481"/>
      <c r="T56" s="481"/>
      <c r="U56" s="513"/>
      <c r="V56" s="513"/>
      <c r="W56" s="514"/>
    </row>
    <row r="57" spans="1:23" s="83" customFormat="1" ht="12" customHeight="1">
      <c r="A57" s="153" t="s">
        <v>131</v>
      </c>
      <c r="B57" s="959"/>
      <c r="C57" s="975"/>
      <c r="D57" s="975"/>
      <c r="E57" s="975"/>
      <c r="F57" s="444"/>
      <c r="G57" s="445"/>
      <c r="H57" s="445"/>
      <c r="I57" s="445"/>
      <c r="J57" s="1022"/>
      <c r="K57" s="801"/>
      <c r="L57" s="802"/>
      <c r="M57" s="445"/>
      <c r="N57" s="443"/>
      <c r="O57" s="443"/>
      <c r="P57" s="4"/>
      <c r="Q57" s="520"/>
      <c r="R57" s="801"/>
      <c r="S57" s="445"/>
      <c r="T57" s="445"/>
      <c r="U57" s="446"/>
      <c r="V57" s="447"/>
      <c r="W57" s="448"/>
    </row>
    <row r="58" spans="1:23" ht="12" customHeight="1">
      <c r="A58" s="170"/>
      <c r="B58" s="171"/>
      <c r="C58" s="978"/>
      <c r="D58" s="978"/>
      <c r="E58" s="978"/>
      <c r="F58" s="171"/>
      <c r="G58" s="171"/>
      <c r="H58" s="171"/>
      <c r="I58" s="171"/>
      <c r="J58" s="171"/>
      <c r="K58" s="803"/>
      <c r="L58" s="803"/>
      <c r="M58" s="172"/>
      <c r="N58" s="12"/>
      <c r="O58" s="12"/>
      <c r="P58" s="12"/>
      <c r="Q58" s="520"/>
      <c r="R58" s="803"/>
      <c r="S58" s="172"/>
      <c r="T58" s="172"/>
      <c r="U58" s="467"/>
      <c r="V58" s="467"/>
      <c r="W58" s="467"/>
    </row>
    <row r="59" spans="1:23" ht="15.6" customHeight="1">
      <c r="A59" s="91" t="s">
        <v>132</v>
      </c>
      <c r="B59" s="91"/>
      <c r="C59" s="969"/>
      <c r="D59" s="969"/>
      <c r="E59" s="969"/>
      <c r="F59" s="91"/>
      <c r="G59" s="91"/>
      <c r="H59" s="91"/>
      <c r="I59" s="91"/>
      <c r="J59" s="91"/>
      <c r="K59" s="790"/>
      <c r="L59" s="790"/>
      <c r="M59" s="93"/>
      <c r="N59" s="5"/>
      <c r="O59" s="5"/>
      <c r="P59" s="7"/>
      <c r="Q59" s="520"/>
      <c r="R59" s="790"/>
      <c r="S59" s="93"/>
      <c r="T59" s="93"/>
      <c r="U59" s="94"/>
      <c r="V59" s="94"/>
      <c r="W59" s="94"/>
    </row>
    <row r="60" spans="1:23" ht="12" customHeight="1">
      <c r="A60" s="173" t="s">
        <v>133</v>
      </c>
      <c r="B60" s="959"/>
      <c r="C60" s="971"/>
      <c r="D60" s="971"/>
      <c r="E60" s="971"/>
      <c r="F60" s="121">
        <v>17.471192451877801</v>
      </c>
      <c r="G60" s="564">
        <v>12.612500000000001</v>
      </c>
      <c r="H60" s="564">
        <v>13.559530000000001</v>
      </c>
      <c r="I60" s="564">
        <v>14.371930000000001</v>
      </c>
      <c r="J60" s="707">
        <v>14.2273</v>
      </c>
      <c r="K60" s="804">
        <f>K31*0.25%</f>
        <v>19.873727500000001</v>
      </c>
      <c r="L60" s="804">
        <f>L31*0.25%</f>
        <v>20.310949505</v>
      </c>
      <c r="M60" s="564">
        <f t="shared" ref="M60" si="32">K60+L60</f>
        <v>40.184677004999998</v>
      </c>
      <c r="N60" s="804">
        <f>N31*0.25%</f>
        <v>20.717168495100001</v>
      </c>
      <c r="O60" s="804">
        <f>O31*0.25%</f>
        <v>21.131511865002004</v>
      </c>
      <c r="P60" s="804">
        <f>P31*0.25%</f>
        <v>21.554142102302041</v>
      </c>
      <c r="Q60" s="520"/>
      <c r="R60" s="804">
        <f>R31*0.25%</f>
        <v>19.873727500000001</v>
      </c>
      <c r="S60" s="122"/>
      <c r="T60" s="564"/>
      <c r="U60" s="123"/>
      <c r="V60" s="123"/>
      <c r="W60" s="124"/>
    </row>
    <row r="61" spans="1:23" s="112" customFormat="1" ht="12" customHeight="1">
      <c r="A61" s="174" t="s">
        <v>134</v>
      </c>
      <c r="B61" s="961"/>
      <c r="C61" s="972"/>
      <c r="D61" s="972"/>
      <c r="E61" s="972"/>
      <c r="F61" s="175">
        <f t="shared" ref="F61:P61" si="33">F18-F60</f>
        <v>6971.0057882992423</v>
      </c>
      <c r="G61" s="176">
        <f t="shared" si="33"/>
        <v>5032.3874999999998</v>
      </c>
      <c r="H61" s="176">
        <f t="shared" si="33"/>
        <v>5410.2524699999994</v>
      </c>
      <c r="I61" s="176">
        <f t="shared" si="33"/>
        <v>5734.4000699999997</v>
      </c>
      <c r="J61" s="220">
        <f t="shared" si="33"/>
        <v>5676.6927000000005</v>
      </c>
      <c r="K61" s="754">
        <f t="shared" si="33"/>
        <v>7929.6172724999997</v>
      </c>
      <c r="L61" s="755">
        <f t="shared" si="33"/>
        <v>8104.0688524950001</v>
      </c>
      <c r="M61" s="176">
        <f t="shared" si="33"/>
        <v>16033.686124995002</v>
      </c>
      <c r="N61" s="607">
        <f t="shared" si="33"/>
        <v>8266.150229544899</v>
      </c>
      <c r="O61" s="607">
        <f t="shared" si="33"/>
        <v>8431.4732341357994</v>
      </c>
      <c r="P61" s="608">
        <f t="shared" si="33"/>
        <v>8600.1026988185131</v>
      </c>
      <c r="Q61" s="520"/>
      <c r="R61" s="754">
        <f t="shared" ref="R61" si="34">R18-R60</f>
        <v>7929.6172724999997</v>
      </c>
      <c r="S61" s="176"/>
      <c r="T61" s="176"/>
      <c r="U61" s="177"/>
      <c r="V61" s="177"/>
      <c r="W61" s="178"/>
    </row>
    <row r="62" spans="1:23" s="179" customFormat="1" ht="12" customHeight="1">
      <c r="A62" s="93"/>
      <c r="B62" s="79"/>
      <c r="C62" s="963"/>
      <c r="D62" s="963"/>
      <c r="E62" s="963"/>
      <c r="F62" s="79"/>
      <c r="G62" s="79"/>
      <c r="H62" s="79"/>
      <c r="I62" s="79"/>
      <c r="J62" s="79"/>
      <c r="K62" s="806"/>
      <c r="L62" s="806"/>
      <c r="M62" s="217"/>
      <c r="N62" s="2"/>
      <c r="O62" s="2"/>
      <c r="P62" s="2"/>
      <c r="Q62" s="520"/>
      <c r="R62" s="806"/>
      <c r="S62" s="217"/>
      <c r="T62" s="217"/>
      <c r="U62" s="218"/>
      <c r="V62" s="218"/>
      <c r="W62" s="218"/>
    </row>
    <row r="63" spans="1:23" ht="15.6" customHeight="1">
      <c r="A63" s="91" t="s">
        <v>135</v>
      </c>
      <c r="B63" s="91"/>
      <c r="C63" s="969"/>
      <c r="D63" s="969"/>
      <c r="E63" s="969"/>
      <c r="F63" s="91"/>
      <c r="G63" s="91"/>
      <c r="H63" s="91"/>
      <c r="I63" s="91"/>
      <c r="J63" s="91"/>
      <c r="K63" s="790"/>
      <c r="L63" s="790"/>
      <c r="M63" s="93"/>
      <c r="N63" s="5"/>
      <c r="O63" s="5"/>
      <c r="P63" s="7"/>
      <c r="Q63" s="520"/>
      <c r="R63" s="790"/>
      <c r="S63" s="93"/>
      <c r="T63" s="93"/>
      <c r="U63" s="94"/>
      <c r="V63" s="94"/>
      <c r="W63" s="94"/>
    </row>
    <row r="64" spans="1:23" s="184" customFormat="1" ht="12" customHeight="1">
      <c r="A64" s="134" t="s">
        <v>136</v>
      </c>
      <c r="B64" s="79"/>
      <c r="C64" s="979"/>
      <c r="D64" s="979"/>
      <c r="E64" s="979"/>
      <c r="F64" s="180">
        <f>'T1'!F64</f>
        <v>0.02</v>
      </c>
      <c r="G64" s="181">
        <f>'T1'!G64</f>
        <v>3.9E-2</v>
      </c>
      <c r="H64" s="181">
        <f>'T1'!H64</f>
        <v>1.9E-2</v>
      </c>
      <c r="I64" s="181">
        <f>'T1'!I64</f>
        <v>0.03</v>
      </c>
      <c r="J64" s="927">
        <f>'T1'!J64</f>
        <v>2.3E-2</v>
      </c>
      <c r="K64" s="807">
        <f>'T1'!K64</f>
        <v>1.2E-2</v>
      </c>
      <c r="L64" s="808">
        <f>'T1'!L64</f>
        <v>2.1999999999999999E-2</v>
      </c>
      <c r="M64" s="533"/>
      <c r="N64" s="610">
        <f>'T1'!N64</f>
        <v>0.02</v>
      </c>
      <c r="O64" s="610">
        <f>'T1'!O64</f>
        <v>0.02</v>
      </c>
      <c r="P64" s="609">
        <f>'T1'!P64</f>
        <v>0.02</v>
      </c>
      <c r="Q64" s="520"/>
      <c r="R64" s="807">
        <f>'T1'!R64</f>
        <v>1.2E-2</v>
      </c>
      <c r="S64" s="181"/>
      <c r="T64" s="181"/>
      <c r="U64" s="181"/>
      <c r="V64" s="181"/>
      <c r="W64" s="183"/>
    </row>
    <row r="65" spans="1:23" s="179" customFormat="1" ht="12" customHeight="1">
      <c r="A65" s="137" t="s">
        <v>137</v>
      </c>
      <c r="B65" s="79"/>
      <c r="C65" s="980"/>
      <c r="D65" s="980"/>
      <c r="E65" s="980"/>
      <c r="F65" s="185">
        <f>'T1'!F65</f>
        <v>94.45180643802405</v>
      </c>
      <c r="G65" s="570">
        <f>'T1'!G65</f>
        <v>98.135426889106981</v>
      </c>
      <c r="H65" s="570">
        <f>'T1'!H65</f>
        <v>100</v>
      </c>
      <c r="I65" s="570">
        <f>'T1'!I65</f>
        <v>103</v>
      </c>
      <c r="J65" s="928">
        <f>'T1'!J65</f>
        <v>105.36899999999999</v>
      </c>
      <c r="K65" s="809">
        <f>'T1'!K65</f>
        <v>106.63342799999998</v>
      </c>
      <c r="L65" s="810">
        <f>'T1'!L65</f>
        <v>108.97936341599998</v>
      </c>
      <c r="M65" s="536"/>
      <c r="N65" s="612">
        <f>'T1'!N65</f>
        <v>111.15895068431999</v>
      </c>
      <c r="O65" s="612">
        <f>'T1'!O65</f>
        <v>113.38212969800639</v>
      </c>
      <c r="P65" s="611">
        <f>'T1'!P65</f>
        <v>115.64977229196653</v>
      </c>
      <c r="Q65" s="520"/>
      <c r="R65" s="809">
        <f>'T1'!R65</f>
        <v>106.63342799999998</v>
      </c>
      <c r="S65" s="186"/>
      <c r="T65" s="570"/>
      <c r="U65" s="186"/>
      <c r="V65" s="186"/>
      <c r="W65" s="187"/>
    </row>
    <row r="66" spans="1:23" s="179" customFormat="1" ht="12" customHeight="1">
      <c r="A66" s="188" t="s">
        <v>138</v>
      </c>
      <c r="B66" s="189"/>
      <c r="C66" s="972"/>
      <c r="D66" s="972"/>
      <c r="E66" s="972"/>
      <c r="F66" s="109">
        <f t="shared" ref="F66:J66" si="35">((F61-F15-F16)/(F65/100))+F15+F16</f>
        <v>7380.489639309726</v>
      </c>
      <c r="G66" s="567">
        <f t="shared" si="35"/>
        <v>5128.0028624999995</v>
      </c>
      <c r="H66" s="567">
        <f t="shared" si="35"/>
        <v>5410.2524699999994</v>
      </c>
      <c r="I66" s="567">
        <f t="shared" si="35"/>
        <v>5567.3787087378632</v>
      </c>
      <c r="J66" s="219">
        <f t="shared" si="35"/>
        <v>5387.4409930814581</v>
      </c>
      <c r="K66" s="737">
        <f t="shared" ref="K66:P66" si="36">((K61-K15-K16)/(K65/100))+K15+K16</f>
        <v>7436.3334474251369</v>
      </c>
      <c r="L66" s="738">
        <f t="shared" si="36"/>
        <v>7436.3334474251369</v>
      </c>
      <c r="M66" s="567">
        <f>K66+L66</f>
        <v>14872.666894850274</v>
      </c>
      <c r="N66" s="582">
        <f t="shared" si="36"/>
        <v>7436.333447425136</v>
      </c>
      <c r="O66" s="582">
        <f t="shared" si="36"/>
        <v>7436.3334474251378</v>
      </c>
      <c r="P66" s="581">
        <f t="shared" si="36"/>
        <v>7436.3334474251342</v>
      </c>
      <c r="Q66" s="520"/>
      <c r="R66" s="737">
        <f t="shared" ref="R66" si="37">((R61-R15-R16)/(R65/100))+R15+R16</f>
        <v>7436.3334474251369</v>
      </c>
      <c r="S66" s="110"/>
      <c r="T66" s="567"/>
      <c r="U66" s="530"/>
      <c r="V66" s="190"/>
      <c r="W66" s="191"/>
    </row>
    <row r="67" spans="1:23" s="179" customFormat="1" ht="12" customHeight="1">
      <c r="A67" s="192" t="s">
        <v>99</v>
      </c>
      <c r="B67" s="79"/>
      <c r="C67" s="981"/>
      <c r="D67" s="981"/>
      <c r="E67" s="981"/>
      <c r="F67" s="1002"/>
      <c r="G67" s="193">
        <f t="shared" ref="G67:J67" si="38">G66/F66-1</f>
        <v>-0.30519476171507698</v>
      </c>
      <c r="H67" s="193">
        <f t="shared" si="38"/>
        <v>5.5040844373163589E-2</v>
      </c>
      <c r="I67" s="193">
        <f t="shared" si="38"/>
        <v>2.9042311723738168E-2</v>
      </c>
      <c r="J67" s="929">
        <f t="shared" si="38"/>
        <v>-3.2320006428518511E-2</v>
      </c>
      <c r="K67" s="780">
        <f t="shared" ref="K67" si="39">K66/J66-1</f>
        <v>0.38030902927287058</v>
      </c>
      <c r="L67" s="781">
        <f t="shared" ref="L67" si="40">L66/K66-1</f>
        <v>0</v>
      </c>
      <c r="M67" s="718"/>
      <c r="N67" s="647">
        <f t="shared" ref="N67" si="41">N66/L66-1</f>
        <v>0</v>
      </c>
      <c r="O67" s="647">
        <f t="shared" ref="O67" si="42">O66/N66-1</f>
        <v>0</v>
      </c>
      <c r="P67" s="615">
        <f t="shared" ref="P67" si="43">P66/O66-1</f>
        <v>0</v>
      </c>
      <c r="Q67" s="520"/>
      <c r="R67" s="780">
        <f>+R66/J66-1</f>
        <v>0.38030902927287058</v>
      </c>
      <c r="S67" s="567"/>
      <c r="T67" s="567"/>
      <c r="U67" s="530"/>
      <c r="V67" s="193"/>
      <c r="W67" s="195"/>
    </row>
    <row r="68" spans="1:23" s="179" customFormat="1" ht="12" customHeight="1">
      <c r="A68" s="196" t="s">
        <v>139</v>
      </c>
      <c r="B68" s="197"/>
      <c r="C68" s="982"/>
      <c r="D68" s="982"/>
      <c r="E68" s="982"/>
      <c r="F68" s="198">
        <f>'T1'!F68</f>
        <v>246.09299999999999</v>
      </c>
      <c r="G68" s="111">
        <f>'T1'!G68</f>
        <v>245.18199999999999</v>
      </c>
      <c r="H68" s="111">
        <f>'T1'!H68</f>
        <v>249.824836137597</v>
      </c>
      <c r="I68" s="111">
        <f>'T1'!I68</f>
        <v>256.3</v>
      </c>
      <c r="J68" s="1026">
        <f>'T1'!J68</f>
        <v>256.00565702730603</v>
      </c>
      <c r="K68" s="782">
        <f>'T1'!K68</f>
        <v>134.32968502803001</v>
      </c>
      <c r="L68" s="783">
        <f>'T1'!L68</f>
        <v>139.24003148171201</v>
      </c>
      <c r="M68" s="111">
        <f>K68+L68</f>
        <v>273.56971650974202</v>
      </c>
      <c r="N68" s="648">
        <f>'T1'!N68</f>
        <v>204.80311130053201</v>
      </c>
      <c r="O68" s="648">
        <f>'T1'!O68</f>
        <v>240.42251109710699</v>
      </c>
      <c r="P68" s="618">
        <f>'T1'!P68</f>
        <v>258.33819951035298</v>
      </c>
      <c r="Q68" s="520"/>
      <c r="R68" s="782">
        <f>'T1'!R68</f>
        <v>134.32968502803001</v>
      </c>
      <c r="S68" s="567"/>
      <c r="T68" s="567"/>
      <c r="U68" s="530"/>
      <c r="V68" s="190"/>
      <c r="W68" s="191"/>
    </row>
    <row r="69" spans="1:23" s="179" customFormat="1" ht="12" customHeight="1">
      <c r="A69" s="192" t="s">
        <v>99</v>
      </c>
      <c r="B69" s="197"/>
      <c r="C69" s="981"/>
      <c r="D69" s="981"/>
      <c r="E69" s="981"/>
      <c r="F69" s="1002"/>
      <c r="G69" s="193">
        <f t="shared" ref="G69" si="44">G68/F68-1</f>
        <v>-3.7018525516776535E-3</v>
      </c>
      <c r="H69" s="193">
        <f t="shared" ref="H69" si="45">H68/G68-1</f>
        <v>1.8936284627733668E-2</v>
      </c>
      <c r="I69" s="193">
        <f t="shared" ref="I69" si="46">I68/H68-1</f>
        <v>2.5918815609015988E-2</v>
      </c>
      <c r="J69" s="929">
        <f t="shared" ref="J69" si="47">J68/I68-1</f>
        <v>-1.14843141901666E-3</v>
      </c>
      <c r="K69" s="780">
        <f t="shared" ref="K69" si="48">K68/J68-1</f>
        <v>-0.47528626285901887</v>
      </c>
      <c r="L69" s="781">
        <f t="shared" ref="L69" si="49">L68/K68-1</f>
        <v>3.6554440313452563E-2</v>
      </c>
      <c r="M69" s="718"/>
      <c r="N69" s="647">
        <f t="shared" ref="N69" si="50">N68/L68-1</f>
        <v>0.47086372447015101</v>
      </c>
      <c r="O69" s="647">
        <f t="shared" ref="O69" si="51">O68/N68-1</f>
        <v>0.17392020839129918</v>
      </c>
      <c r="P69" s="615">
        <f t="shared" ref="P69" si="52">P68/O68-1</f>
        <v>7.4517516398494799E-2</v>
      </c>
      <c r="Q69" s="520"/>
      <c r="R69" s="780">
        <f>+R68/J68-1</f>
        <v>-0.47528626285901887</v>
      </c>
      <c r="S69" s="567"/>
      <c r="T69" s="567"/>
      <c r="U69" s="530"/>
      <c r="V69" s="193"/>
      <c r="W69" s="195"/>
    </row>
    <row r="70" spans="1:23" s="179" customFormat="1" ht="12" customHeight="1">
      <c r="A70" s="196" t="s">
        <v>140</v>
      </c>
      <c r="B70" s="197"/>
      <c r="C70" s="983"/>
      <c r="D70" s="983"/>
      <c r="E70" s="983"/>
      <c r="F70" s="199">
        <f t="shared" ref="F70:J70" si="53">F66/F68</f>
        <v>29.990652474104206</v>
      </c>
      <c r="G70" s="200">
        <f t="shared" si="53"/>
        <v>20.915087006794952</v>
      </c>
      <c r="H70" s="200">
        <f t="shared" si="53"/>
        <v>21.656183402919051</v>
      </c>
      <c r="I70" s="200">
        <f t="shared" si="53"/>
        <v>21.722117474591741</v>
      </c>
      <c r="J70" s="1027">
        <f t="shared" si="53"/>
        <v>21.044226348899876</v>
      </c>
      <c r="K70" s="784">
        <f t="shared" ref="K70:P70" si="54">K66/K68</f>
        <v>55.358824416758132</v>
      </c>
      <c r="L70" s="785">
        <f t="shared" si="54"/>
        <v>53.406576889504912</v>
      </c>
      <c r="M70" s="200">
        <f>M66/M68</f>
        <v>54.365180052086089</v>
      </c>
      <c r="N70" s="649">
        <f t="shared" si="54"/>
        <v>36.309670298479588</v>
      </c>
      <c r="O70" s="649">
        <f t="shared" si="54"/>
        <v>30.930271102698832</v>
      </c>
      <c r="P70" s="619">
        <f t="shared" si="54"/>
        <v>28.785264670574282</v>
      </c>
      <c r="Q70" s="520"/>
      <c r="R70" s="784">
        <f t="shared" ref="R70" si="55">R66/R68</f>
        <v>55.358824416758132</v>
      </c>
      <c r="S70" s="202"/>
      <c r="T70" s="202"/>
      <c r="U70" s="201"/>
      <c r="V70" s="190"/>
      <c r="W70" s="191"/>
    </row>
    <row r="71" spans="1:23" ht="12" customHeight="1">
      <c r="A71" s="203" t="s">
        <v>99</v>
      </c>
      <c r="B71" s="197"/>
      <c r="C71" s="981"/>
      <c r="D71" s="981"/>
      <c r="E71" s="981"/>
      <c r="F71" s="1003"/>
      <c r="G71" s="204">
        <f t="shared" ref="G71" si="56">G70/F70-1</f>
        <v>-0.30261313838188952</v>
      </c>
      <c r="H71" s="204">
        <f t="shared" ref="H71" si="57">H70/G70-1</f>
        <v>3.5433579400522275E-2</v>
      </c>
      <c r="I71" s="204">
        <f t="shared" ref="I71" si="58">I70/H70-1</f>
        <v>3.0445841008071017E-3</v>
      </c>
      <c r="J71" s="1028">
        <f t="shared" ref="J71" si="59">J70/I70-1</f>
        <v>-3.1207414584917492E-2</v>
      </c>
      <c r="K71" s="786">
        <f t="shared" ref="K71" si="60">K70/J70-1</f>
        <v>1.6305944204811365</v>
      </c>
      <c r="L71" s="787">
        <f t="shared" ref="L71" si="61">L70/K70-1</f>
        <v>-3.5265335704315226E-2</v>
      </c>
      <c r="M71" s="447"/>
      <c r="N71" s="650">
        <f t="shared" ref="N71" si="62">N70/L70-1</f>
        <v>-0.32012736233587535</v>
      </c>
      <c r="O71" s="650">
        <f t="shared" ref="O71" si="63">O70/N70-1</f>
        <v>-0.14815334734686392</v>
      </c>
      <c r="P71" s="622">
        <f t="shared" ref="P71" si="64">P70/O70-1</f>
        <v>-6.9349745593965562E-2</v>
      </c>
      <c r="Q71" s="520"/>
      <c r="R71" s="786">
        <f>+R70/J70-1</f>
        <v>1.6305944204811365</v>
      </c>
      <c r="S71" s="204"/>
      <c r="T71" s="204"/>
      <c r="U71" s="157"/>
      <c r="V71" s="204"/>
      <c r="W71" s="205"/>
    </row>
    <row r="72" spans="1:23" s="450" customFormat="1" ht="12" customHeight="1">
      <c r="A72" s="206"/>
      <c r="B72" s="197"/>
      <c r="C72" s="984"/>
      <c r="D72" s="984"/>
      <c r="E72" s="984"/>
      <c r="F72" s="197"/>
      <c r="G72" s="197"/>
      <c r="H72" s="197"/>
      <c r="I72" s="197"/>
      <c r="J72" s="197"/>
      <c r="K72" s="788"/>
      <c r="L72" s="788"/>
      <c r="M72" s="194"/>
      <c r="N72" s="194"/>
      <c r="O72" s="194"/>
      <c r="P72" s="194"/>
      <c r="Q72" s="520"/>
      <c r="R72" s="788"/>
      <c r="S72" s="179"/>
      <c r="T72" s="179"/>
      <c r="U72" s="179"/>
      <c r="V72" s="179"/>
      <c r="W72" s="179"/>
    </row>
    <row r="73" spans="1:23" s="450" customFormat="1" ht="12" customHeight="1">
      <c r="A73" s="207" t="s">
        <v>141</v>
      </c>
      <c r="B73" s="83"/>
      <c r="C73" s="967"/>
      <c r="D73" s="967"/>
      <c r="E73" s="967"/>
      <c r="F73" s="83"/>
      <c r="G73" s="83"/>
      <c r="H73" s="83"/>
      <c r="I73" s="83"/>
      <c r="J73" s="83"/>
      <c r="K73" s="207"/>
      <c r="L73" s="207"/>
      <c r="M73" s="83"/>
      <c r="N73" s="83"/>
      <c r="O73" s="83"/>
      <c r="P73" s="83"/>
      <c r="Q73" s="520"/>
      <c r="R73" s="207"/>
      <c r="S73" s="74"/>
      <c r="T73" s="74"/>
      <c r="U73" s="74"/>
      <c r="V73" s="74"/>
      <c r="W73" s="74"/>
    </row>
    <row r="74" spans="1:23" s="459" customFormat="1" ht="12" customHeight="1">
      <c r="A74" s="208" t="s">
        <v>499</v>
      </c>
      <c r="B74" s="209"/>
      <c r="C74" s="985"/>
      <c r="D74" s="985"/>
      <c r="E74" s="985"/>
      <c r="F74" s="209"/>
      <c r="G74" s="209"/>
      <c r="H74" s="209"/>
      <c r="I74" s="209"/>
      <c r="J74" s="209"/>
      <c r="K74" s="215"/>
      <c r="L74" s="215"/>
      <c r="M74" s="210"/>
      <c r="N74" s="182"/>
      <c r="O74" s="469"/>
      <c r="P74" s="211"/>
      <c r="Q74" s="520"/>
      <c r="R74" s="215"/>
      <c r="S74" s="450"/>
      <c r="T74" s="450"/>
      <c r="U74" s="450"/>
      <c r="V74" s="450"/>
      <c r="W74" s="450"/>
    </row>
    <row r="75" spans="1:23" s="459" customFormat="1" ht="12" customHeight="1">
      <c r="A75" s="208" t="s">
        <v>142</v>
      </c>
      <c r="B75" s="212"/>
      <c r="C75" s="986"/>
      <c r="D75" s="986"/>
      <c r="E75" s="986"/>
      <c r="F75" s="212"/>
      <c r="G75" s="212"/>
      <c r="H75" s="212"/>
      <c r="I75" s="212"/>
      <c r="J75" s="212"/>
      <c r="K75" s="215"/>
      <c r="L75" s="215"/>
      <c r="M75" s="215"/>
      <c r="N75" s="215"/>
      <c r="O75" s="470"/>
      <c r="P75" s="210"/>
      <c r="Q75" s="520"/>
      <c r="R75" s="215"/>
      <c r="S75" s="74"/>
      <c r="T75" s="74"/>
      <c r="U75" s="74"/>
      <c r="V75" s="74"/>
      <c r="W75" s="74"/>
    </row>
    <row r="76" spans="1:23" ht="12" customHeight="1">
      <c r="A76" s="208" t="s">
        <v>143</v>
      </c>
      <c r="B76" s="213"/>
      <c r="C76" s="987"/>
      <c r="D76" s="987"/>
      <c r="E76" s="987"/>
      <c r="F76" s="213"/>
      <c r="G76" s="213"/>
      <c r="H76" s="213"/>
      <c r="I76" s="213"/>
      <c r="J76" s="213"/>
      <c r="K76" s="723"/>
      <c r="L76" s="723"/>
      <c r="M76" s="214"/>
      <c r="N76" s="214"/>
      <c r="O76" s="471"/>
      <c r="P76" s="472"/>
      <c r="Q76" s="520"/>
      <c r="R76" s="723"/>
      <c r="S76" s="459"/>
      <c r="T76" s="459"/>
      <c r="U76" s="459"/>
      <c r="V76" s="459"/>
      <c r="W76" s="459"/>
    </row>
    <row r="77" spans="1:23" s="459" customFormat="1" ht="12" customHeight="1">
      <c r="A77" s="208"/>
      <c r="B77" s="83"/>
      <c r="C77" s="967"/>
      <c r="D77" s="967"/>
      <c r="E77" s="967"/>
      <c r="F77" s="83"/>
      <c r="G77" s="83"/>
      <c r="H77" s="83"/>
      <c r="I77" s="83"/>
      <c r="J77" s="83"/>
      <c r="K77" s="725"/>
      <c r="L77" s="725"/>
      <c r="M77" s="473"/>
      <c r="N77" s="473"/>
      <c r="O77" s="710"/>
      <c r="P77" s="472"/>
      <c r="Q77" s="520"/>
      <c r="R77" s="725"/>
    </row>
    <row r="78" spans="1:23" ht="12" customHeight="1">
      <c r="A78" s="474"/>
      <c r="B78" s="474"/>
      <c r="C78" s="988"/>
      <c r="D78" s="988"/>
      <c r="E78" s="988"/>
      <c r="F78" s="75"/>
      <c r="G78" s="75"/>
      <c r="H78" s="75"/>
      <c r="I78" s="75"/>
      <c r="J78" s="75"/>
      <c r="K78" s="475"/>
      <c r="L78" s="475"/>
      <c r="M78" s="475"/>
      <c r="N78" s="475"/>
      <c r="O78" s="475"/>
      <c r="P78" s="214"/>
      <c r="Q78" s="520"/>
      <c r="R78" s="475"/>
    </row>
    <row r="79" spans="1:23" ht="12" customHeight="1">
      <c r="A79" s="75"/>
      <c r="B79" s="75"/>
      <c r="F79" s="75"/>
      <c r="G79" s="75"/>
      <c r="H79" s="75"/>
      <c r="I79" s="75"/>
      <c r="J79" s="75"/>
      <c r="K79" s="475"/>
      <c r="L79" s="475"/>
      <c r="M79" s="79"/>
      <c r="N79" s="79"/>
      <c r="O79" s="79"/>
      <c r="P79" s="79"/>
      <c r="Q79" s="520"/>
      <c r="R79" s="475"/>
      <c r="S79" s="459"/>
      <c r="T79" s="459"/>
      <c r="U79" s="459"/>
      <c r="V79" s="459"/>
      <c r="W79" s="459"/>
    </row>
    <row r="80" spans="1:23" s="459" customFormat="1" ht="12" customHeight="1">
      <c r="A80" s="208"/>
      <c r="B80" s="83"/>
      <c r="C80" s="967"/>
      <c r="D80" s="967"/>
      <c r="E80" s="967"/>
      <c r="F80" s="83"/>
      <c r="G80" s="1039"/>
      <c r="H80" s="1039"/>
      <c r="I80" s="1039"/>
      <c r="J80" s="1039"/>
      <c r="K80" s="670"/>
      <c r="L80" s="670"/>
      <c r="M80" s="90"/>
      <c r="N80" s="670"/>
      <c r="O80" s="670"/>
      <c r="P80" s="670"/>
      <c r="Q80" s="520"/>
      <c r="R80" s="670"/>
    </row>
    <row r="81" spans="1:23" ht="12" customHeight="1">
      <c r="A81" s="474"/>
      <c r="B81" s="474"/>
      <c r="C81" s="988"/>
      <c r="D81" s="988"/>
      <c r="E81" s="988"/>
      <c r="F81" s="75"/>
      <c r="G81" s="75"/>
      <c r="H81" s="75"/>
      <c r="I81" s="1040"/>
      <c r="J81" s="75"/>
      <c r="K81" s="474"/>
      <c r="L81" s="474"/>
      <c r="N81" s="474"/>
      <c r="O81" s="474"/>
      <c r="P81" s="474"/>
      <c r="Q81" s="520"/>
      <c r="R81" s="474"/>
    </row>
    <row r="82" spans="1:23" ht="12" customHeight="1">
      <c r="A82" s="75"/>
      <c r="B82" s="75"/>
      <c r="F82" s="75"/>
      <c r="G82" s="75"/>
      <c r="H82" s="75"/>
      <c r="I82" s="75"/>
      <c r="J82" s="75"/>
      <c r="K82" s="474"/>
      <c r="L82" s="474"/>
      <c r="N82" s="75"/>
      <c r="O82" s="75"/>
      <c r="P82" s="75"/>
      <c r="Q82" s="520"/>
      <c r="R82" s="474"/>
      <c r="S82" s="459"/>
      <c r="T82" s="459"/>
      <c r="U82" s="459"/>
      <c r="V82" s="459"/>
      <c r="W82" s="459"/>
    </row>
    <row r="83" spans="1:23">
      <c r="F83" s="669"/>
      <c r="G83" s="669"/>
      <c r="H83" s="669"/>
      <c r="I83" s="669"/>
      <c r="J83" s="669"/>
      <c r="K83" s="727"/>
      <c r="L83" s="727"/>
      <c r="M83" s="74"/>
      <c r="N83" s="669"/>
      <c r="O83" s="669"/>
      <c r="P83" s="669"/>
      <c r="Q83" s="520"/>
      <c r="R83" s="727"/>
      <c r="S83" s="90"/>
      <c r="T83" s="90"/>
      <c r="U83" s="90"/>
      <c r="V83" s="90"/>
      <c r="W83" s="90"/>
    </row>
    <row r="84" spans="1:23">
      <c r="Q84" s="520"/>
    </row>
    <row r="85" spans="1:23">
      <c r="P85" s="74"/>
      <c r="Q85" s="520"/>
    </row>
    <row r="86" spans="1:23">
      <c r="Q86" s="520"/>
    </row>
    <row r="87" spans="1:23">
      <c r="Q87" s="520"/>
    </row>
    <row r="88" spans="1:23">
      <c r="Q88" s="520"/>
    </row>
    <row r="89" spans="1:23">
      <c r="Q89" s="520"/>
    </row>
    <row r="90" spans="1:23">
      <c r="Q90" s="520"/>
    </row>
    <row r="117" spans="1:18" ht="12" customHeight="1">
      <c r="A117" s="476"/>
      <c r="B117" s="74"/>
      <c r="C117" s="967"/>
      <c r="D117" s="967"/>
      <c r="E117" s="967"/>
      <c r="F117" s="74"/>
      <c r="G117" s="74"/>
      <c r="H117" s="74"/>
      <c r="I117" s="74"/>
      <c r="J117" s="74"/>
      <c r="K117" s="516"/>
      <c r="L117" s="516"/>
      <c r="M117" s="74"/>
      <c r="N117" s="74"/>
      <c r="O117" s="74"/>
      <c r="R117" s="516"/>
    </row>
    <row r="119" spans="1:18">
      <c r="P119" s="74"/>
      <c r="Q119" s="74"/>
    </row>
  </sheetData>
  <mergeCells count="3">
    <mergeCell ref="K7:P7"/>
    <mergeCell ref="R7:W7"/>
    <mergeCell ref="F7:J7"/>
  </mergeCells>
  <pageMargins left="0.7" right="0.7" top="0.75" bottom="0.75" header="0.3" footer="0.3"/>
  <pageSetup paperSize="9" scale="49" orientation="portrait" r:id="rId1"/>
  <ignoredErrors>
    <ignoredError sqref="F68:J6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86">
    <pageSetUpPr fitToPage="1"/>
  </sheetPr>
  <dimension ref="A1:Y120"/>
  <sheetViews>
    <sheetView showGridLines="0" zoomScale="120" zoomScaleNormal="120" workbookViewId="0">
      <selection activeCell="K61" sqref="K61"/>
    </sheetView>
  </sheetViews>
  <sheetFormatPr baseColWidth="10" defaultColWidth="12.5703125" defaultRowHeight="12"/>
  <cols>
    <col min="1" max="1" width="30.7109375" style="90" customWidth="1"/>
    <col min="2" max="2" width="0.5703125" style="90" customWidth="1"/>
    <col min="3" max="5" width="8" style="963" hidden="1" customWidth="1"/>
    <col min="6" max="10" width="8.5703125" style="90" customWidth="1"/>
    <col min="11" max="12" width="8.5703125" style="728" customWidth="1"/>
    <col min="13" max="16" width="8.5703125" style="76" customWidth="1"/>
    <col min="17" max="17" width="0.5703125" style="76" customWidth="1"/>
    <col min="18" max="18" width="8.5703125" style="728" customWidth="1"/>
    <col min="19" max="23" width="8.5703125" style="74" customWidth="1"/>
    <col min="24" max="16384" width="12.5703125" style="74"/>
  </cols>
  <sheetData>
    <row r="1" spans="1:23" ht="12" customHeight="1">
      <c r="A1" s="73" t="s">
        <v>346</v>
      </c>
      <c r="B1" s="73"/>
      <c r="C1" s="962"/>
      <c r="D1" s="962"/>
      <c r="E1" s="962"/>
      <c r="F1" s="73"/>
      <c r="G1" s="73"/>
      <c r="H1" s="73"/>
      <c r="I1" s="73"/>
      <c r="J1" s="73"/>
      <c r="L1" s="729"/>
      <c r="M1" s="73"/>
      <c r="N1" s="73"/>
      <c r="O1" s="73"/>
      <c r="P1" s="73"/>
      <c r="Q1" s="73"/>
      <c r="S1" s="73"/>
      <c r="T1" s="73"/>
      <c r="U1" s="73"/>
      <c r="V1" s="73"/>
      <c r="W1" s="73"/>
    </row>
    <row r="2" spans="1:23" ht="12" customHeight="1">
      <c r="A2" s="75"/>
      <c r="B2" s="75"/>
      <c r="F2" s="75"/>
      <c r="G2" s="75"/>
      <c r="H2" s="75"/>
      <c r="I2" s="75"/>
      <c r="J2" s="75"/>
    </row>
    <row r="3" spans="1:23" ht="12" customHeight="1">
      <c r="A3" s="77" t="str">
        <f>Header!B3</f>
        <v>Norway - TCZ</v>
      </c>
      <c r="B3" s="78"/>
      <c r="C3" s="964"/>
      <c r="D3" s="964"/>
      <c r="E3" s="964"/>
      <c r="F3" s="78"/>
      <c r="G3" s="78"/>
      <c r="H3" s="78"/>
      <c r="I3" s="78"/>
      <c r="J3" s="78"/>
      <c r="K3" s="475"/>
      <c r="L3" s="475"/>
      <c r="M3" s="79"/>
      <c r="N3" s="79"/>
      <c r="O3" s="79"/>
      <c r="P3" s="79"/>
      <c r="Q3" s="79"/>
      <c r="R3" s="475"/>
      <c r="S3" s="430"/>
      <c r="T3" s="430"/>
      <c r="U3" s="430"/>
      <c r="V3" s="430"/>
      <c r="W3" s="430"/>
    </row>
    <row r="4" spans="1:23" ht="12" customHeight="1">
      <c r="A4" s="80" t="s">
        <v>695</v>
      </c>
      <c r="B4" s="78"/>
      <c r="C4" s="964"/>
      <c r="D4" s="964"/>
      <c r="E4" s="964"/>
      <c r="F4" s="78"/>
      <c r="G4" s="78"/>
      <c r="H4" s="78"/>
      <c r="I4" s="78"/>
      <c r="J4" s="78"/>
      <c r="K4" s="475"/>
      <c r="L4" s="475"/>
      <c r="M4" s="79"/>
      <c r="N4" s="79"/>
      <c r="O4" s="79"/>
      <c r="P4" s="79"/>
      <c r="Q4" s="79"/>
      <c r="R4" s="475"/>
    </row>
    <row r="5" spans="1:23" ht="12" customHeight="1">
      <c r="A5" s="81" t="s">
        <v>144</v>
      </c>
      <c r="B5" s="78"/>
      <c r="C5" s="964"/>
      <c r="D5" s="964"/>
      <c r="E5" s="964"/>
      <c r="F5" s="78"/>
      <c r="G5" s="78"/>
      <c r="H5" s="78"/>
      <c r="I5" s="78"/>
      <c r="J5" s="78"/>
      <c r="K5" s="475"/>
      <c r="L5" s="475"/>
      <c r="M5" s="79"/>
      <c r="N5" s="79"/>
      <c r="O5" s="79"/>
      <c r="P5" s="79"/>
      <c r="Q5" s="79"/>
      <c r="R5" s="475"/>
    </row>
    <row r="6" spans="1:23" ht="12" customHeight="1">
      <c r="A6" s="75"/>
      <c r="B6" s="75"/>
      <c r="F6" s="75"/>
      <c r="G6" s="75"/>
      <c r="H6" s="75"/>
      <c r="I6" s="75"/>
      <c r="J6" s="75"/>
      <c r="Q6" s="79"/>
    </row>
    <row r="7" spans="1:23" s="82" customFormat="1" ht="12" customHeight="1">
      <c r="C7" s="965"/>
      <c r="D7" s="966"/>
      <c r="E7" s="966"/>
      <c r="F7" s="1505" t="s">
        <v>555</v>
      </c>
      <c r="G7" s="1506"/>
      <c r="H7" s="1506"/>
      <c r="I7" s="1506"/>
      <c r="J7" s="1507"/>
      <c r="K7" s="1500" t="s">
        <v>345</v>
      </c>
      <c r="L7" s="1501"/>
      <c r="M7" s="1501"/>
      <c r="N7" s="1501"/>
      <c r="O7" s="1501"/>
      <c r="P7" s="1502"/>
      <c r="Q7" s="79"/>
      <c r="R7" s="1505" t="s">
        <v>89</v>
      </c>
      <c r="S7" s="1506"/>
      <c r="T7" s="1506"/>
      <c r="U7" s="1506"/>
      <c r="V7" s="1506"/>
      <c r="W7" s="1507"/>
    </row>
    <row r="8" spans="1:23" ht="12" customHeight="1">
      <c r="A8" s="74"/>
      <c r="B8" s="74"/>
      <c r="C8" s="967"/>
      <c r="D8" s="967"/>
      <c r="E8" s="967"/>
      <c r="F8" s="74"/>
      <c r="G8" s="74"/>
      <c r="H8" s="74"/>
      <c r="I8" s="74"/>
      <c r="J8" s="74"/>
      <c r="K8" s="207"/>
      <c r="L8" s="207"/>
      <c r="M8" s="83"/>
      <c r="N8" s="83"/>
      <c r="O8" s="83"/>
      <c r="P8" s="83"/>
      <c r="Q8" s="79"/>
      <c r="R8" s="207"/>
    </row>
    <row r="9" spans="1:23" s="89" customFormat="1" ht="12" customHeight="1">
      <c r="A9" s="84" t="s">
        <v>90</v>
      </c>
      <c r="B9" s="75"/>
      <c r="C9" s="968"/>
      <c r="D9" s="968"/>
      <c r="E9" s="968"/>
      <c r="F9" s="85">
        <v>2015</v>
      </c>
      <c r="G9" s="86">
        <v>2016</v>
      </c>
      <c r="H9" s="86">
        <v>2017</v>
      </c>
      <c r="I9" s="86">
        <v>2018</v>
      </c>
      <c r="J9" s="87">
        <v>2019</v>
      </c>
      <c r="K9" s="711">
        <v>2020</v>
      </c>
      <c r="L9" s="711">
        <v>2021</v>
      </c>
      <c r="M9" s="86" t="s">
        <v>498</v>
      </c>
      <c r="N9" s="86">
        <v>2022</v>
      </c>
      <c r="O9" s="86">
        <v>2023</v>
      </c>
      <c r="P9" s="87">
        <v>2024</v>
      </c>
      <c r="Q9" s="79"/>
      <c r="R9" s="931">
        <v>2020</v>
      </c>
      <c r="S9" s="712">
        <v>2021</v>
      </c>
      <c r="T9" s="86" t="s">
        <v>498</v>
      </c>
      <c r="U9" s="86">
        <v>2022</v>
      </c>
      <c r="V9" s="86">
        <v>2023</v>
      </c>
      <c r="W9" s="87">
        <v>2024</v>
      </c>
    </row>
    <row r="10" spans="1:23" ht="12" customHeight="1">
      <c r="A10" s="75"/>
      <c r="B10" s="75"/>
      <c r="F10" s="75"/>
      <c r="G10" s="75"/>
      <c r="H10" s="75"/>
      <c r="I10" s="75"/>
      <c r="J10" s="75"/>
      <c r="K10" s="538"/>
      <c r="L10" s="538"/>
      <c r="M10" s="90"/>
      <c r="N10" s="90"/>
      <c r="Q10" s="79"/>
      <c r="R10" s="538"/>
      <c r="S10" s="90"/>
      <c r="T10" s="90"/>
      <c r="U10" s="90"/>
      <c r="V10" s="90"/>
      <c r="W10" s="90"/>
    </row>
    <row r="11" spans="1:23" ht="15.6" customHeight="1">
      <c r="A11" s="91" t="s">
        <v>91</v>
      </c>
      <c r="B11" s="969"/>
      <c r="C11" s="969"/>
      <c r="D11" s="969"/>
      <c r="E11" s="969"/>
      <c r="F11" s="91"/>
      <c r="G11" s="91"/>
      <c r="H11" s="91"/>
      <c r="I11" s="91"/>
      <c r="J11" s="91"/>
      <c r="K11" s="730"/>
      <c r="L11" s="730"/>
      <c r="M11" s="93"/>
      <c r="N11" s="93"/>
      <c r="O11" s="93"/>
      <c r="P11" s="92"/>
      <c r="Q11" s="79"/>
      <c r="R11" s="730"/>
      <c r="S11" s="93"/>
      <c r="T11" s="93"/>
      <c r="U11" s="94"/>
      <c r="V11" s="94"/>
      <c r="W11" s="94"/>
    </row>
    <row r="12" spans="1:23" ht="12" customHeight="1">
      <c r="A12" s="95" t="s">
        <v>92</v>
      </c>
      <c r="B12" s="102"/>
      <c r="C12" s="970"/>
      <c r="D12" s="970"/>
      <c r="E12" s="970"/>
      <c r="F12" s="98">
        <v>551.62999999999988</v>
      </c>
      <c r="G12" s="99">
        <v>410</v>
      </c>
      <c r="H12" s="99">
        <v>426.53600000000006</v>
      </c>
      <c r="I12" s="99">
        <v>435.06672000000003</v>
      </c>
      <c r="J12" s="709">
        <v>463.6</v>
      </c>
      <c r="K12" s="731">
        <v>0</v>
      </c>
      <c r="L12" s="732">
        <v>0</v>
      </c>
      <c r="M12" s="99">
        <f>K12+L12</f>
        <v>0</v>
      </c>
      <c r="N12" s="732">
        <v>0</v>
      </c>
      <c r="O12" s="732">
        <v>0</v>
      </c>
      <c r="P12" s="1414">
        <v>0</v>
      </c>
      <c r="Q12" s="475"/>
      <c r="R12" s="731">
        <v>0</v>
      </c>
      <c r="S12" s="477"/>
      <c r="T12" s="477"/>
      <c r="U12" s="515"/>
      <c r="V12" s="100"/>
      <c r="W12" s="101"/>
    </row>
    <row r="13" spans="1:23" ht="12" customHeight="1">
      <c r="A13" s="102" t="s">
        <v>93</v>
      </c>
      <c r="B13" s="102"/>
      <c r="C13" s="971"/>
      <c r="D13" s="971"/>
      <c r="E13" s="971"/>
      <c r="F13" s="480"/>
      <c r="G13" s="481"/>
      <c r="H13" s="481"/>
      <c r="I13" s="481"/>
      <c r="J13" s="708"/>
      <c r="K13" s="735">
        <v>0</v>
      </c>
      <c r="L13" s="736">
        <v>0</v>
      </c>
      <c r="M13" s="104">
        <f t="shared" ref="M13" si="0">K13+L13</f>
        <v>0</v>
      </c>
      <c r="N13" s="736">
        <v>0</v>
      </c>
      <c r="O13" s="736">
        <v>0</v>
      </c>
      <c r="P13" s="1415">
        <v>0</v>
      </c>
      <c r="Q13" s="475"/>
      <c r="R13" s="735">
        <v>0</v>
      </c>
      <c r="S13" s="484"/>
      <c r="T13" s="484"/>
      <c r="U13" s="521"/>
      <c r="V13" s="127"/>
      <c r="W13" s="128"/>
    </row>
    <row r="14" spans="1:23" ht="12" customHeight="1">
      <c r="A14" s="102" t="s">
        <v>94</v>
      </c>
      <c r="B14" s="102"/>
      <c r="C14" s="970"/>
      <c r="D14" s="970"/>
      <c r="E14" s="970"/>
      <c r="F14" s="103">
        <v>828</v>
      </c>
      <c r="G14" s="104">
        <v>615</v>
      </c>
      <c r="H14" s="104">
        <v>639.80400000000009</v>
      </c>
      <c r="I14" s="104">
        <v>652.60007999999993</v>
      </c>
      <c r="J14" s="706">
        <v>695.4</v>
      </c>
      <c r="K14" s="735">
        <v>826.43100000000004</v>
      </c>
      <c r="L14" s="736">
        <v>844.612482</v>
      </c>
      <c r="M14" s="104">
        <f t="shared" ref="M14:M17" si="1">K14+L14</f>
        <v>1671.043482</v>
      </c>
      <c r="N14" s="736">
        <v>861.50473164000005</v>
      </c>
      <c r="O14" s="736">
        <v>878.73482627279998</v>
      </c>
      <c r="P14" s="1415">
        <v>896.3095227982559</v>
      </c>
      <c r="Q14" s="475"/>
      <c r="R14" s="735">
        <v>826.43100000000004</v>
      </c>
      <c r="S14" s="487"/>
      <c r="T14" s="487"/>
      <c r="U14" s="521"/>
      <c r="V14" s="105"/>
      <c r="W14" s="106"/>
    </row>
    <row r="15" spans="1:23" ht="12" customHeight="1">
      <c r="A15" s="102" t="s">
        <v>95</v>
      </c>
      <c r="B15" s="102"/>
      <c r="C15" s="970"/>
      <c r="D15" s="970"/>
      <c r="E15" s="970"/>
      <c r="F15" s="103"/>
      <c r="G15" s="104"/>
      <c r="H15" s="104"/>
      <c r="I15" s="104"/>
      <c r="J15" s="706"/>
      <c r="K15" s="735">
        <v>0</v>
      </c>
      <c r="L15" s="736">
        <v>0</v>
      </c>
      <c r="M15" s="104">
        <f t="shared" si="1"/>
        <v>0</v>
      </c>
      <c r="N15" s="736">
        <v>0</v>
      </c>
      <c r="O15" s="736">
        <v>0</v>
      </c>
      <c r="P15" s="1415">
        <v>0</v>
      </c>
      <c r="Q15" s="475"/>
      <c r="R15" s="735">
        <v>0</v>
      </c>
      <c r="S15" s="487"/>
      <c r="T15" s="487"/>
      <c r="U15" s="521"/>
      <c r="V15" s="105"/>
      <c r="W15" s="106"/>
    </row>
    <row r="16" spans="1:23" ht="12" customHeight="1">
      <c r="A16" s="102" t="s">
        <v>96</v>
      </c>
      <c r="B16" s="102"/>
      <c r="C16" s="970"/>
      <c r="D16" s="970"/>
      <c r="E16" s="970"/>
      <c r="F16" s="103"/>
      <c r="G16" s="104"/>
      <c r="H16" s="104"/>
      <c r="I16" s="104"/>
      <c r="J16" s="706"/>
      <c r="K16" s="735">
        <v>0</v>
      </c>
      <c r="L16" s="736">
        <v>0</v>
      </c>
      <c r="M16" s="104">
        <f t="shared" si="1"/>
        <v>0</v>
      </c>
      <c r="N16" s="736">
        <v>0</v>
      </c>
      <c r="O16" s="736">
        <v>0</v>
      </c>
      <c r="P16" s="1415">
        <v>0</v>
      </c>
      <c r="Q16" s="475"/>
      <c r="R16" s="735">
        <v>0</v>
      </c>
      <c r="S16" s="487"/>
      <c r="T16" s="487"/>
      <c r="U16" s="521"/>
      <c r="V16" s="105"/>
      <c r="W16" s="106"/>
    </row>
    <row r="17" spans="1:25" ht="12" customHeight="1">
      <c r="A17" s="102" t="s">
        <v>97</v>
      </c>
      <c r="B17" s="102"/>
      <c r="C17" s="970"/>
      <c r="D17" s="970"/>
      <c r="E17" s="970"/>
      <c r="F17" s="103"/>
      <c r="G17" s="104"/>
      <c r="H17" s="104"/>
      <c r="I17" s="104"/>
      <c r="J17" s="431"/>
      <c r="K17" s="735">
        <v>0</v>
      </c>
      <c r="L17" s="736">
        <v>0</v>
      </c>
      <c r="M17" s="104">
        <f t="shared" si="1"/>
        <v>0</v>
      </c>
      <c r="N17" s="736">
        <v>0</v>
      </c>
      <c r="O17" s="736">
        <v>0</v>
      </c>
      <c r="P17" s="1415">
        <v>0</v>
      </c>
      <c r="Q17" s="475"/>
      <c r="R17" s="735">
        <v>0</v>
      </c>
      <c r="S17" s="487"/>
      <c r="T17" s="487"/>
      <c r="U17" s="521"/>
      <c r="V17" s="105"/>
      <c r="W17" s="106"/>
    </row>
    <row r="18" spans="1:25" ht="12" customHeight="1">
      <c r="A18" s="108" t="s">
        <v>98</v>
      </c>
      <c r="B18" s="432"/>
      <c r="C18" s="972"/>
      <c r="D18" s="972"/>
      <c r="E18" s="972"/>
      <c r="F18" s="109">
        <f t="shared" ref="F18:H18" si="2">SUM(F12:F17)</f>
        <v>1379.6299999999999</v>
      </c>
      <c r="G18" s="567">
        <f t="shared" si="2"/>
        <v>1025</v>
      </c>
      <c r="H18" s="567">
        <f t="shared" si="2"/>
        <v>1066.3400000000001</v>
      </c>
      <c r="I18" s="567">
        <f t="shared" ref="I18" si="3">I12+SUM(I14:I17)</f>
        <v>1087.6668</v>
      </c>
      <c r="J18" s="219">
        <f t="shared" ref="J18:R18" si="4">J12+SUM(J14:J17)</f>
        <v>1159</v>
      </c>
      <c r="K18" s="737">
        <f t="shared" si="4"/>
        <v>826.43100000000004</v>
      </c>
      <c r="L18" s="738">
        <f t="shared" si="4"/>
        <v>844.612482</v>
      </c>
      <c r="M18" s="567">
        <f t="shared" ref="M18" si="5">M12+SUM(M14:M17)</f>
        <v>1671.043482</v>
      </c>
      <c r="N18" s="738">
        <f t="shared" si="4"/>
        <v>861.50473164000005</v>
      </c>
      <c r="O18" s="738">
        <f t="shared" si="4"/>
        <v>878.73482627279998</v>
      </c>
      <c r="P18" s="1423">
        <f t="shared" si="4"/>
        <v>896.3095227982559</v>
      </c>
      <c r="Q18" s="475"/>
      <c r="R18" s="737">
        <f t="shared" si="4"/>
        <v>826.43100000000004</v>
      </c>
      <c r="S18" s="110"/>
      <c r="T18" s="567"/>
      <c r="U18" s="110"/>
      <c r="V18" s="110"/>
      <c r="W18" s="219"/>
    </row>
    <row r="19" spans="1:25" ht="12" customHeight="1">
      <c r="A19" s="113" t="s">
        <v>99</v>
      </c>
      <c r="B19" s="114"/>
      <c r="C19" s="973"/>
      <c r="D19" s="973"/>
      <c r="E19" s="973"/>
      <c r="F19" s="115"/>
      <c r="G19" s="116">
        <f t="shared" ref="G19:I19" si="6">+G18/F18-1</f>
        <v>-0.25704717931619336</v>
      </c>
      <c r="H19" s="116">
        <f t="shared" si="6"/>
        <v>4.0331707317073251E-2</v>
      </c>
      <c r="I19" s="116">
        <f t="shared" si="6"/>
        <v>1.9999999999999796E-2</v>
      </c>
      <c r="J19" s="117">
        <f t="shared" ref="J19" si="7">+J18/I18-1</f>
        <v>6.5583687945609759E-2</v>
      </c>
      <c r="K19" s="739">
        <f t="shared" ref="K19" si="8">+K18/J18-1</f>
        <v>-0.2869447799827437</v>
      </c>
      <c r="L19" s="740">
        <f t="shared" ref="L19" si="9">+L18/K18-1</f>
        <v>2.200000000000002E-2</v>
      </c>
      <c r="M19" s="716"/>
      <c r="N19" s="584">
        <f t="shared" ref="N19" si="10">+N18/L18-1</f>
        <v>2.0000000000000018E-2</v>
      </c>
      <c r="O19" s="584">
        <f t="shared" ref="O19" si="11">+O18/N18-1</f>
        <v>2.0000000000000018E-2</v>
      </c>
      <c r="P19" s="583">
        <f t="shared" ref="P19" si="12">+P18/O18-1</f>
        <v>2.0000000000000018E-2</v>
      </c>
      <c r="Q19" s="79"/>
      <c r="R19" s="739">
        <f>+R18/J18-1</f>
        <v>-0.2869447799827437</v>
      </c>
      <c r="S19" s="116"/>
      <c r="T19" s="116"/>
      <c r="U19" s="116"/>
      <c r="V19" s="116"/>
      <c r="W19" s="117"/>
    </row>
    <row r="20" spans="1:25" ht="12" customHeight="1">
      <c r="A20" s="114"/>
      <c r="B20" s="114"/>
      <c r="C20" s="974"/>
      <c r="D20" s="974"/>
      <c r="E20" s="974"/>
      <c r="F20" s="114"/>
      <c r="G20" s="114"/>
      <c r="H20" s="114"/>
      <c r="I20" s="114"/>
      <c r="J20" s="114"/>
      <c r="K20" s="741"/>
      <c r="L20" s="741"/>
      <c r="M20" s="119"/>
      <c r="N20" s="654"/>
      <c r="O20" s="654"/>
      <c r="P20" s="654"/>
      <c r="Q20" s="79"/>
      <c r="R20" s="741"/>
      <c r="S20" s="119"/>
      <c r="T20" s="119"/>
      <c r="U20" s="119"/>
      <c r="V20" s="119"/>
      <c r="W20" s="119"/>
    </row>
    <row r="21" spans="1:25" ht="15.6" customHeight="1">
      <c r="A21" s="91" t="s">
        <v>100</v>
      </c>
      <c r="B21" s="91"/>
      <c r="C21" s="969"/>
      <c r="D21" s="969"/>
      <c r="E21" s="969"/>
      <c r="F21" s="91"/>
      <c r="G21" s="91"/>
      <c r="H21" s="91"/>
      <c r="I21" s="91"/>
      <c r="J21" s="91"/>
      <c r="K21" s="742"/>
      <c r="L21" s="742"/>
      <c r="M21" s="93"/>
      <c r="N21" s="586"/>
      <c r="O21" s="586"/>
      <c r="P21" s="587"/>
      <c r="Q21" s="79"/>
      <c r="R21" s="742"/>
      <c r="S21" s="93"/>
      <c r="T21" s="93"/>
      <c r="U21" s="94"/>
      <c r="V21" s="94"/>
      <c r="W21" s="94"/>
    </row>
    <row r="22" spans="1:25" ht="12" customHeight="1">
      <c r="A22" s="96" t="s">
        <v>101</v>
      </c>
      <c r="B22" s="102"/>
      <c r="C22" s="971"/>
      <c r="D22" s="971"/>
      <c r="E22" s="971"/>
      <c r="F22" s="523"/>
      <c r="G22" s="504"/>
      <c r="H22" s="504"/>
      <c r="I22" s="504"/>
      <c r="J22" s="956"/>
      <c r="K22" s="743"/>
      <c r="L22" s="744"/>
      <c r="M22" s="524"/>
      <c r="N22" s="744"/>
      <c r="O22" s="744"/>
      <c r="P22" s="1424"/>
      <c r="Q22" s="475"/>
      <c r="R22" s="743"/>
      <c r="S22" s="524"/>
      <c r="T22" s="524"/>
      <c r="U22" s="526"/>
      <c r="V22" s="527"/>
      <c r="W22" s="528"/>
    </row>
    <row r="23" spans="1:25" ht="12" customHeight="1">
      <c r="A23" s="120" t="s">
        <v>102</v>
      </c>
      <c r="B23" s="102"/>
      <c r="C23" s="971"/>
      <c r="D23" s="971"/>
      <c r="E23" s="971"/>
      <c r="F23" s="480"/>
      <c r="G23" s="481"/>
      <c r="H23" s="481"/>
      <c r="I23" s="481"/>
      <c r="J23" s="708"/>
      <c r="K23" s="745"/>
      <c r="L23" s="746"/>
      <c r="M23" s="482"/>
      <c r="N23" s="746"/>
      <c r="O23" s="746"/>
      <c r="P23" s="1425"/>
      <c r="Q23" s="475"/>
      <c r="R23" s="745"/>
      <c r="S23" s="482"/>
      <c r="T23" s="482"/>
      <c r="U23" s="495"/>
      <c r="V23" s="513"/>
      <c r="W23" s="514"/>
    </row>
    <row r="24" spans="1:25" ht="12" customHeight="1">
      <c r="A24" s="120" t="s">
        <v>103</v>
      </c>
      <c r="B24" s="102"/>
      <c r="C24" s="971"/>
      <c r="D24" s="971"/>
      <c r="E24" s="971"/>
      <c r="F24" s="480"/>
      <c r="G24" s="481"/>
      <c r="H24" s="481"/>
      <c r="I24" s="481"/>
      <c r="J24" s="708"/>
      <c r="K24" s="745"/>
      <c r="L24" s="746"/>
      <c r="M24" s="482"/>
      <c r="N24" s="746"/>
      <c r="O24" s="746"/>
      <c r="P24" s="1425"/>
      <c r="Q24" s="475"/>
      <c r="R24" s="745"/>
      <c r="S24" s="482"/>
      <c r="T24" s="482"/>
      <c r="U24" s="495"/>
      <c r="V24" s="513"/>
      <c r="W24" s="514"/>
    </row>
    <row r="25" spans="1:25" ht="12" customHeight="1">
      <c r="A25" s="120" t="s">
        <v>104</v>
      </c>
      <c r="B25" s="102"/>
      <c r="C25" s="971"/>
      <c r="D25" s="971"/>
      <c r="E25" s="971"/>
      <c r="F25" s="480"/>
      <c r="G25" s="481"/>
      <c r="H25" s="481"/>
      <c r="I25" s="481"/>
      <c r="J25" s="708"/>
      <c r="K25" s="745"/>
      <c r="L25" s="746"/>
      <c r="M25" s="482"/>
      <c r="N25" s="746"/>
      <c r="O25" s="746"/>
      <c r="P25" s="1425"/>
      <c r="Q25" s="475"/>
      <c r="R25" s="745"/>
      <c r="S25" s="482"/>
      <c r="T25" s="482"/>
      <c r="U25" s="495"/>
      <c r="V25" s="513"/>
      <c r="W25" s="514"/>
    </row>
    <row r="26" spans="1:25" ht="12" customHeight="1">
      <c r="A26" s="120" t="s">
        <v>105</v>
      </c>
      <c r="B26" s="102"/>
      <c r="C26" s="971"/>
      <c r="D26" s="971"/>
      <c r="E26" s="971"/>
      <c r="F26" s="1149"/>
      <c r="G26" s="1150"/>
      <c r="H26" s="1150"/>
      <c r="I26" s="1150"/>
      <c r="J26" s="1151"/>
      <c r="K26" s="747">
        <v>0</v>
      </c>
      <c r="L26" s="748">
        <v>0</v>
      </c>
      <c r="M26" s="563">
        <f t="shared" ref="M26" si="13">K26+L26</f>
        <v>0</v>
      </c>
      <c r="N26" s="748">
        <v>0</v>
      </c>
      <c r="O26" s="748">
        <v>0</v>
      </c>
      <c r="P26" s="1416">
        <v>0</v>
      </c>
      <c r="Q26" s="475"/>
      <c r="R26" s="752">
        <v>0</v>
      </c>
      <c r="S26" s="484"/>
      <c r="T26" s="484"/>
      <c r="U26" s="521"/>
      <c r="V26" s="127"/>
      <c r="W26" s="128"/>
    </row>
    <row r="27" spans="1:25" ht="12" customHeight="1">
      <c r="A27" s="120" t="s">
        <v>106</v>
      </c>
      <c r="B27" s="102"/>
      <c r="C27" s="971"/>
      <c r="D27" s="971"/>
      <c r="E27" s="971"/>
      <c r="F27" s="480"/>
      <c r="G27" s="481"/>
      <c r="H27" s="481"/>
      <c r="I27" s="481"/>
      <c r="J27" s="708"/>
      <c r="K27" s="745"/>
      <c r="L27" s="746"/>
      <c r="M27" s="482"/>
      <c r="N27" s="746"/>
      <c r="O27" s="746"/>
      <c r="P27" s="1425"/>
      <c r="Q27" s="475"/>
      <c r="R27" s="745"/>
      <c r="S27" s="482"/>
      <c r="T27" s="482"/>
      <c r="U27" s="495"/>
      <c r="V27" s="513"/>
      <c r="W27" s="514"/>
    </row>
    <row r="28" spans="1:25" ht="12" customHeight="1">
      <c r="A28" s="120" t="s">
        <v>107</v>
      </c>
      <c r="B28" s="102"/>
      <c r="C28" s="971"/>
      <c r="D28" s="971"/>
      <c r="E28" s="971"/>
      <c r="F28" s="480"/>
      <c r="G28" s="481"/>
      <c r="H28" s="481"/>
      <c r="I28" s="481"/>
      <c r="J28" s="708"/>
      <c r="K28" s="745"/>
      <c r="L28" s="746"/>
      <c r="M28" s="482"/>
      <c r="N28" s="746"/>
      <c r="O28" s="746"/>
      <c r="P28" s="1425"/>
      <c r="Q28" s="475"/>
      <c r="R28" s="745"/>
      <c r="S28" s="482"/>
      <c r="T28" s="482"/>
      <c r="U28" s="495"/>
      <c r="V28" s="513"/>
      <c r="W28" s="514"/>
    </row>
    <row r="29" spans="1:25" ht="12" customHeight="1">
      <c r="A29" s="120" t="s">
        <v>108</v>
      </c>
      <c r="B29" s="102"/>
      <c r="C29" s="971"/>
      <c r="D29" s="971"/>
      <c r="E29" s="971"/>
      <c r="F29" s="125">
        <v>1379.6299999999999</v>
      </c>
      <c r="G29" s="563">
        <v>1025</v>
      </c>
      <c r="H29" s="563">
        <v>1066.3400000000001</v>
      </c>
      <c r="I29" s="563">
        <v>1087.6668</v>
      </c>
      <c r="J29" s="706">
        <v>1159</v>
      </c>
      <c r="K29" s="747">
        <v>826.43100000000004</v>
      </c>
      <c r="L29" s="748">
        <v>844.612482</v>
      </c>
      <c r="M29" s="563">
        <f t="shared" ref="M29:M30" si="14">K29+L29</f>
        <v>1671.043482</v>
      </c>
      <c r="N29" s="748">
        <v>861.50473164000005</v>
      </c>
      <c r="O29" s="748">
        <v>878.73482627279998</v>
      </c>
      <c r="P29" s="1416">
        <v>896.3095227982559</v>
      </c>
      <c r="Q29" s="475"/>
      <c r="R29" s="747">
        <v>826.43100000000004</v>
      </c>
      <c r="S29" s="484"/>
      <c r="T29" s="484"/>
      <c r="U29" s="521"/>
      <c r="V29" s="127"/>
      <c r="W29" s="128"/>
      <c r="Y29" s="129"/>
    </row>
    <row r="30" spans="1:25" ht="12" customHeight="1">
      <c r="A30" s="120" t="s">
        <v>109</v>
      </c>
      <c r="B30" s="102"/>
      <c r="C30" s="971"/>
      <c r="D30" s="971"/>
      <c r="E30" s="971"/>
      <c r="F30" s="125"/>
      <c r="G30" s="563"/>
      <c r="H30" s="563"/>
      <c r="I30" s="563"/>
      <c r="J30" s="706"/>
      <c r="K30" s="747">
        <v>0</v>
      </c>
      <c r="L30" s="748">
        <v>0</v>
      </c>
      <c r="M30" s="563">
        <f t="shared" si="14"/>
        <v>0</v>
      </c>
      <c r="N30" s="748">
        <v>0</v>
      </c>
      <c r="O30" s="748">
        <v>0</v>
      </c>
      <c r="P30" s="1416">
        <v>0</v>
      </c>
      <c r="Q30" s="475"/>
      <c r="R30" s="747">
        <v>0</v>
      </c>
      <c r="S30" s="484"/>
      <c r="T30" s="484"/>
      <c r="U30" s="521"/>
      <c r="V30" s="127"/>
      <c r="W30" s="128"/>
    </row>
    <row r="31" spans="1:25" s="112" customFormat="1" ht="12" customHeight="1">
      <c r="A31" s="130" t="s">
        <v>110</v>
      </c>
      <c r="B31" s="108"/>
      <c r="C31" s="972"/>
      <c r="D31" s="972"/>
      <c r="E31" s="972"/>
      <c r="F31" s="109">
        <f t="shared" ref="F31:H31" si="15">SUM(F22:F30)</f>
        <v>1379.6299999999999</v>
      </c>
      <c r="G31" s="567">
        <f t="shared" si="15"/>
        <v>1025</v>
      </c>
      <c r="H31" s="567">
        <f t="shared" si="15"/>
        <v>1066.3400000000001</v>
      </c>
      <c r="I31" s="567">
        <f>SUM(I22:I30)</f>
        <v>1087.6668</v>
      </c>
      <c r="J31" s="219">
        <f t="shared" ref="J31:P31" si="16">SUM(J22:J30)</f>
        <v>1159</v>
      </c>
      <c r="K31" s="737">
        <f t="shared" si="16"/>
        <v>826.43100000000004</v>
      </c>
      <c r="L31" s="738">
        <f t="shared" si="16"/>
        <v>844.612482</v>
      </c>
      <c r="M31" s="567">
        <f t="shared" si="16"/>
        <v>1671.043482</v>
      </c>
      <c r="N31" s="738">
        <f t="shared" si="16"/>
        <v>861.50473164000005</v>
      </c>
      <c r="O31" s="738">
        <f t="shared" si="16"/>
        <v>878.73482627279998</v>
      </c>
      <c r="P31" s="1423">
        <f t="shared" si="16"/>
        <v>896.3095227982559</v>
      </c>
      <c r="Q31" s="475"/>
      <c r="R31" s="737">
        <f t="shared" ref="R31" si="17">SUM(R22:R30)</f>
        <v>826.43100000000004</v>
      </c>
      <c r="S31" s="110"/>
      <c r="T31" s="567"/>
      <c r="U31" s="110"/>
      <c r="V31" s="110"/>
      <c r="W31" s="219"/>
    </row>
    <row r="32" spans="1:25" ht="12" customHeight="1">
      <c r="A32" s="113" t="s">
        <v>99</v>
      </c>
      <c r="B32" s="114"/>
      <c r="C32" s="973"/>
      <c r="D32" s="973"/>
      <c r="E32" s="973"/>
      <c r="F32" s="115"/>
      <c r="G32" s="116">
        <f t="shared" ref="G32:I32" si="18">+G31/F31-1</f>
        <v>-0.25704717931619336</v>
      </c>
      <c r="H32" s="116">
        <f t="shared" si="18"/>
        <v>4.0331707317073251E-2</v>
      </c>
      <c r="I32" s="116">
        <f t="shared" si="18"/>
        <v>1.9999999999999796E-2</v>
      </c>
      <c r="J32" s="117">
        <f t="shared" ref="J32" si="19">+J31/I31-1</f>
        <v>6.5583687945609759E-2</v>
      </c>
      <c r="K32" s="739">
        <f t="shared" ref="K32" si="20">+K31/J31-1</f>
        <v>-0.2869447799827437</v>
      </c>
      <c r="L32" s="740">
        <f t="shared" ref="L32" si="21">+L31/K31-1</f>
        <v>2.200000000000002E-2</v>
      </c>
      <c r="M32" s="716"/>
      <c r="N32" s="584">
        <f t="shared" ref="N32" si="22">+N31/L31-1</f>
        <v>2.0000000000000018E-2</v>
      </c>
      <c r="O32" s="584">
        <f t="shared" ref="O32" si="23">+O31/N31-1</f>
        <v>2.0000000000000018E-2</v>
      </c>
      <c r="P32" s="583">
        <f t="shared" ref="P32" si="24">+P31/O31-1</f>
        <v>2.0000000000000018E-2</v>
      </c>
      <c r="Q32" s="79"/>
      <c r="R32" s="739">
        <f>+R31/J31-1</f>
        <v>-0.2869447799827437</v>
      </c>
      <c r="S32" s="116"/>
      <c r="T32" s="116"/>
      <c r="U32" s="116"/>
      <c r="V32" s="116"/>
      <c r="W32" s="117"/>
    </row>
    <row r="33" spans="1:24" ht="12" customHeight="1">
      <c r="A33" s="114"/>
      <c r="B33" s="133"/>
      <c r="C33" s="973"/>
      <c r="D33" s="973"/>
      <c r="E33" s="973"/>
      <c r="F33" s="133"/>
      <c r="G33" s="133"/>
      <c r="H33" s="133"/>
      <c r="I33" s="133"/>
      <c r="J33" s="133"/>
      <c r="K33" s="749"/>
      <c r="L33" s="749"/>
      <c r="M33" s="133"/>
      <c r="N33" s="592"/>
      <c r="O33" s="592"/>
      <c r="P33" s="592"/>
      <c r="Q33" s="79"/>
      <c r="R33" s="749"/>
      <c r="S33" s="133"/>
      <c r="T33" s="133"/>
      <c r="U33" s="119"/>
      <c r="V33" s="119"/>
      <c r="W33" s="119"/>
    </row>
    <row r="34" spans="1:24" ht="15.6" customHeight="1">
      <c r="A34" s="91" t="s">
        <v>111</v>
      </c>
      <c r="B34" s="91"/>
      <c r="C34" s="969"/>
      <c r="D34" s="969"/>
      <c r="E34" s="969"/>
      <c r="F34" s="91"/>
      <c r="G34" s="91"/>
      <c r="H34" s="91"/>
      <c r="I34" s="91"/>
      <c r="J34" s="91"/>
      <c r="K34" s="742"/>
      <c r="L34" s="742"/>
      <c r="M34" s="93"/>
      <c r="N34" s="586"/>
      <c r="O34" s="586"/>
      <c r="P34" s="587"/>
      <c r="Q34" s="79"/>
      <c r="R34" s="742"/>
      <c r="S34" s="93"/>
      <c r="T34" s="93"/>
      <c r="U34" s="93"/>
      <c r="V34" s="93"/>
      <c r="W34" s="93"/>
    </row>
    <row r="35" spans="1:24" ht="12" customHeight="1">
      <c r="A35" s="91" t="s">
        <v>112</v>
      </c>
      <c r="B35" s="91"/>
      <c r="C35" s="969"/>
      <c r="D35" s="969"/>
      <c r="E35" s="969"/>
      <c r="F35" s="91"/>
      <c r="G35" s="91"/>
      <c r="H35" s="91"/>
      <c r="I35" s="91"/>
      <c r="J35" s="91"/>
      <c r="K35" s="742"/>
      <c r="L35" s="742"/>
      <c r="M35" s="93"/>
      <c r="N35" s="586"/>
      <c r="O35" s="586"/>
      <c r="P35" s="586"/>
      <c r="Q35" s="79"/>
      <c r="R35" s="742"/>
      <c r="S35" s="93"/>
      <c r="T35" s="93"/>
      <c r="U35" s="93"/>
      <c r="V35" s="93"/>
      <c r="W35" s="93"/>
    </row>
    <row r="36" spans="1:24" s="83" customFormat="1" ht="12" customHeight="1">
      <c r="A36" s="134" t="s">
        <v>113</v>
      </c>
      <c r="B36" s="959"/>
      <c r="C36" s="971"/>
      <c r="D36" s="971"/>
      <c r="E36" s="971"/>
      <c r="F36" s="121"/>
      <c r="G36" s="564"/>
      <c r="H36" s="564"/>
      <c r="I36" s="564"/>
      <c r="J36" s="707"/>
      <c r="K36" s="812">
        <v>0</v>
      </c>
      <c r="L36" s="652">
        <v>0</v>
      </c>
      <c r="M36" s="504"/>
      <c r="N36" s="636">
        <v>0</v>
      </c>
      <c r="O36" s="636">
        <v>0</v>
      </c>
      <c r="P36" s="637">
        <v>0</v>
      </c>
      <c r="Q36" s="79"/>
      <c r="R36" s="812">
        <v>0</v>
      </c>
      <c r="S36" s="490"/>
      <c r="T36" s="490"/>
      <c r="U36" s="490"/>
      <c r="V36" s="135"/>
      <c r="W36" s="136"/>
      <c r="X36" s="74"/>
    </row>
    <row r="37" spans="1:24" s="83" customFormat="1" ht="12" customHeight="1">
      <c r="A37" s="137" t="s">
        <v>114</v>
      </c>
      <c r="B37" s="959"/>
      <c r="C37" s="971"/>
      <c r="D37" s="971"/>
      <c r="E37" s="971"/>
      <c r="F37" s="125"/>
      <c r="G37" s="563"/>
      <c r="H37" s="563"/>
      <c r="I37" s="563"/>
      <c r="J37" s="706"/>
      <c r="K37" s="747">
        <v>0</v>
      </c>
      <c r="L37" s="748">
        <v>0</v>
      </c>
      <c r="M37" s="481"/>
      <c r="N37" s="632">
        <v>0</v>
      </c>
      <c r="O37" s="632">
        <v>0</v>
      </c>
      <c r="P37" s="633">
        <v>0</v>
      </c>
      <c r="Q37" s="79"/>
      <c r="R37" s="747">
        <v>0</v>
      </c>
      <c r="S37" s="126"/>
      <c r="T37" s="563"/>
      <c r="U37" s="127"/>
      <c r="V37" s="127"/>
      <c r="W37" s="128"/>
      <c r="X37" s="74"/>
    </row>
    <row r="38" spans="1:24" s="83" customFormat="1" ht="12" customHeight="1">
      <c r="A38" s="137" t="s">
        <v>115</v>
      </c>
      <c r="B38" s="959"/>
      <c r="C38" s="971"/>
      <c r="D38" s="971"/>
      <c r="E38" s="971"/>
      <c r="F38" s="125"/>
      <c r="G38" s="563"/>
      <c r="H38" s="563"/>
      <c r="I38" s="563"/>
      <c r="J38" s="706"/>
      <c r="K38" s="747">
        <v>0</v>
      </c>
      <c r="L38" s="748">
        <v>0</v>
      </c>
      <c r="M38" s="481"/>
      <c r="N38" s="632">
        <v>0</v>
      </c>
      <c r="O38" s="632">
        <v>0</v>
      </c>
      <c r="P38" s="633">
        <v>0</v>
      </c>
      <c r="Q38" s="79"/>
      <c r="R38" s="747">
        <v>0</v>
      </c>
      <c r="S38" s="126"/>
      <c r="T38" s="563"/>
      <c r="U38" s="127"/>
      <c r="V38" s="127"/>
      <c r="W38" s="128"/>
      <c r="X38" s="74"/>
    </row>
    <row r="39" spans="1:24" s="83" customFormat="1" ht="12" customHeight="1">
      <c r="A39" s="138" t="s">
        <v>116</v>
      </c>
      <c r="B39" s="959"/>
      <c r="C39" s="972"/>
      <c r="D39" s="972"/>
      <c r="E39" s="972"/>
      <c r="F39" s="175">
        <f t="shared" ref="F39:P39" si="25">SUM(F36:F38)</f>
        <v>0</v>
      </c>
      <c r="G39" s="176">
        <f t="shared" si="25"/>
        <v>0</v>
      </c>
      <c r="H39" s="176">
        <f t="shared" si="25"/>
        <v>0</v>
      </c>
      <c r="I39" s="176">
        <f t="shared" si="25"/>
        <v>0</v>
      </c>
      <c r="J39" s="220">
        <f t="shared" si="25"/>
        <v>0</v>
      </c>
      <c r="K39" s="754">
        <f t="shared" si="25"/>
        <v>0</v>
      </c>
      <c r="L39" s="755">
        <f t="shared" si="25"/>
        <v>0</v>
      </c>
      <c r="M39" s="717"/>
      <c r="N39" s="607">
        <f t="shared" si="25"/>
        <v>0</v>
      </c>
      <c r="O39" s="607">
        <f t="shared" si="25"/>
        <v>0</v>
      </c>
      <c r="P39" s="608">
        <f t="shared" si="25"/>
        <v>0</v>
      </c>
      <c r="Q39" s="79"/>
      <c r="R39" s="754">
        <f t="shared" ref="R39" si="26">SUM(R36:R38)</f>
        <v>0</v>
      </c>
      <c r="S39" s="176"/>
      <c r="T39" s="176"/>
      <c r="U39" s="176"/>
      <c r="V39" s="176"/>
      <c r="W39" s="220"/>
      <c r="X39" s="74"/>
    </row>
    <row r="40" spans="1:24" ht="12" customHeight="1">
      <c r="A40" s="91" t="s">
        <v>117</v>
      </c>
      <c r="B40" s="91"/>
      <c r="C40" s="969"/>
      <c r="D40" s="969"/>
      <c r="E40" s="969"/>
      <c r="F40" s="91"/>
      <c r="G40" s="91"/>
      <c r="H40" s="91"/>
      <c r="I40" s="91"/>
      <c r="J40" s="91"/>
      <c r="K40" s="756"/>
      <c r="L40" s="756"/>
      <c r="M40" s="142"/>
      <c r="N40" s="595"/>
      <c r="O40" s="595"/>
      <c r="P40" s="595"/>
      <c r="Q40" s="79"/>
      <c r="R40" s="756"/>
      <c r="S40" s="142"/>
      <c r="T40" s="142"/>
      <c r="U40" s="143"/>
      <c r="V40" s="143"/>
      <c r="W40" s="143"/>
    </row>
    <row r="41" spans="1:24" s="83" customFormat="1" ht="12" customHeight="1">
      <c r="A41" s="144" t="s">
        <v>118</v>
      </c>
      <c r="B41" s="959"/>
      <c r="C41" s="975"/>
      <c r="D41" s="975"/>
      <c r="E41" s="975"/>
      <c r="F41" s="995" t="str">
        <f>IF(F39=0,"",F16/F39)</f>
        <v/>
      </c>
      <c r="G41" s="145" t="str">
        <f t="shared" ref="G41:J41" si="27">IF(G39=0,"",G16/G39)</f>
        <v/>
      </c>
      <c r="H41" s="544" t="str">
        <f t="shared" si="27"/>
        <v/>
      </c>
      <c r="I41" s="544" t="str">
        <f t="shared" si="27"/>
        <v/>
      </c>
      <c r="J41" s="998" t="str">
        <f t="shared" si="27"/>
        <v/>
      </c>
      <c r="K41" s="757" t="e">
        <f t="shared" ref="K41:P41" si="28">K16/K39</f>
        <v>#DIV/0!</v>
      </c>
      <c r="L41" s="758" t="e">
        <f t="shared" si="28"/>
        <v>#DIV/0!</v>
      </c>
      <c r="M41" s="504"/>
      <c r="N41" s="645" t="e">
        <f t="shared" si="28"/>
        <v>#DIV/0!</v>
      </c>
      <c r="O41" s="645" t="e">
        <f t="shared" si="28"/>
        <v>#DIV/0!</v>
      </c>
      <c r="P41" s="646" t="e">
        <f t="shared" si="28"/>
        <v>#DIV/0!</v>
      </c>
      <c r="Q41" s="79"/>
      <c r="R41" s="757" t="e">
        <f t="shared" ref="R41" si="29">R16/R39</f>
        <v>#DIV/0!</v>
      </c>
      <c r="S41" s="145"/>
      <c r="T41" s="145"/>
      <c r="U41" s="146"/>
      <c r="V41" s="146"/>
      <c r="W41" s="147"/>
      <c r="X41" s="74"/>
    </row>
    <row r="42" spans="1:24" s="83" customFormat="1" ht="12" customHeight="1">
      <c r="A42" s="148" t="s">
        <v>119</v>
      </c>
      <c r="B42" s="959"/>
      <c r="C42" s="975"/>
      <c r="D42" s="975"/>
      <c r="E42" s="975"/>
      <c r="F42" s="149"/>
      <c r="G42" s="566"/>
      <c r="H42" s="545"/>
      <c r="I42" s="545"/>
      <c r="J42" s="996"/>
      <c r="K42" s="759">
        <v>0</v>
      </c>
      <c r="L42" s="760">
        <v>0</v>
      </c>
      <c r="M42" s="481"/>
      <c r="N42" s="638">
        <v>0</v>
      </c>
      <c r="O42" s="638">
        <v>0</v>
      </c>
      <c r="P42" s="639">
        <v>0</v>
      </c>
      <c r="Q42" s="79"/>
      <c r="R42" s="759">
        <v>0</v>
      </c>
      <c r="S42" s="150"/>
      <c r="T42" s="566"/>
      <c r="U42" s="151"/>
      <c r="V42" s="151"/>
      <c r="W42" s="152"/>
      <c r="X42" s="74"/>
    </row>
    <row r="43" spans="1:24" s="83" customFormat="1" ht="12" customHeight="1">
      <c r="A43" s="148" t="s">
        <v>120</v>
      </c>
      <c r="B43" s="959"/>
      <c r="C43" s="975"/>
      <c r="D43" s="975"/>
      <c r="E43" s="975"/>
      <c r="F43" s="149"/>
      <c r="G43" s="566"/>
      <c r="H43" s="545"/>
      <c r="I43" s="545"/>
      <c r="J43" s="996"/>
      <c r="K43" s="759">
        <v>0</v>
      </c>
      <c r="L43" s="760">
        <v>0</v>
      </c>
      <c r="M43" s="481"/>
      <c r="N43" s="638">
        <v>0</v>
      </c>
      <c r="O43" s="638">
        <v>0</v>
      </c>
      <c r="P43" s="639">
        <v>0</v>
      </c>
      <c r="Q43" s="79"/>
      <c r="R43" s="759">
        <v>0</v>
      </c>
      <c r="S43" s="497"/>
      <c r="T43" s="497"/>
      <c r="U43" s="531"/>
      <c r="V43" s="151"/>
      <c r="W43" s="152"/>
      <c r="X43" s="74"/>
    </row>
    <row r="44" spans="1:24" s="83" customFormat="1" ht="12" customHeight="1">
      <c r="A44" s="153" t="s">
        <v>121</v>
      </c>
      <c r="B44" s="959"/>
      <c r="C44" s="975"/>
      <c r="D44" s="975"/>
      <c r="E44" s="975"/>
      <c r="F44" s="154"/>
      <c r="G44" s="568"/>
      <c r="H44" s="546"/>
      <c r="I44" s="546"/>
      <c r="J44" s="997"/>
      <c r="K44" s="761">
        <v>0</v>
      </c>
      <c r="L44" s="762">
        <v>0</v>
      </c>
      <c r="M44" s="717"/>
      <c r="N44" s="640">
        <v>0</v>
      </c>
      <c r="O44" s="640">
        <v>0</v>
      </c>
      <c r="P44" s="641">
        <v>0</v>
      </c>
      <c r="Q44" s="79"/>
      <c r="R44" s="761">
        <v>0</v>
      </c>
      <c r="S44" s="155"/>
      <c r="T44" s="568"/>
      <c r="U44" s="156"/>
      <c r="V44" s="157"/>
      <c r="W44" s="158"/>
      <c r="X44" s="74"/>
    </row>
    <row r="45" spans="1:24" s="83" customFormat="1" ht="5.65" customHeight="1">
      <c r="A45" s="93"/>
      <c r="B45" s="79"/>
      <c r="C45" s="963"/>
      <c r="D45" s="963"/>
      <c r="E45" s="963"/>
      <c r="F45" s="79"/>
      <c r="G45" s="79"/>
      <c r="H45" s="79"/>
      <c r="I45" s="79"/>
      <c r="J45" s="79"/>
      <c r="K45" s="763"/>
      <c r="L45" s="763"/>
      <c r="M45" s="159"/>
      <c r="N45" s="601"/>
      <c r="O45" s="601"/>
      <c r="P45" s="601"/>
      <c r="Q45" s="79"/>
      <c r="R45" s="763"/>
      <c r="S45" s="159"/>
      <c r="T45" s="159"/>
      <c r="U45" s="160"/>
      <c r="V45" s="161"/>
      <c r="W45" s="161"/>
      <c r="X45" s="74"/>
    </row>
    <row r="46" spans="1:24" s="451" customFormat="1" ht="12" customHeight="1">
      <c r="A46" s="162" t="s">
        <v>122</v>
      </c>
      <c r="B46" s="79"/>
      <c r="C46" s="963"/>
      <c r="D46" s="963"/>
      <c r="E46" s="963"/>
      <c r="F46" s="79"/>
      <c r="G46" s="79"/>
      <c r="H46" s="79"/>
      <c r="I46" s="79"/>
      <c r="J46" s="79"/>
      <c r="K46" s="764"/>
      <c r="L46" s="764"/>
      <c r="M46" s="118"/>
      <c r="N46" s="602"/>
      <c r="O46" s="602"/>
      <c r="P46" s="602"/>
      <c r="Q46" s="79"/>
      <c r="R46" s="764"/>
      <c r="S46" s="118"/>
      <c r="T46" s="118"/>
      <c r="U46" s="449"/>
      <c r="V46" s="449"/>
      <c r="W46" s="449"/>
      <c r="X46" s="450"/>
    </row>
    <row r="47" spans="1:24" s="450" customFormat="1" ht="12" customHeight="1">
      <c r="A47" s="163" t="s">
        <v>123</v>
      </c>
      <c r="B47" s="960"/>
      <c r="C47" s="976"/>
      <c r="D47" s="976"/>
      <c r="E47" s="976"/>
      <c r="F47" s="1074"/>
      <c r="G47" s="1068"/>
      <c r="H47" s="1068"/>
      <c r="I47" s="1068"/>
      <c r="J47" s="1075"/>
      <c r="K47" s="933">
        <v>0</v>
      </c>
      <c r="L47" s="934">
        <v>0</v>
      </c>
      <c r="M47" s="165">
        <f>K47+L47</f>
        <v>0</v>
      </c>
      <c r="N47" s="935">
        <v>0</v>
      </c>
      <c r="O47" s="935">
        <v>0</v>
      </c>
      <c r="P47" s="936">
        <v>0</v>
      </c>
      <c r="Q47" s="107"/>
      <c r="R47" s="933">
        <v>0</v>
      </c>
      <c r="S47" s="164"/>
      <c r="T47" s="565"/>
      <c r="U47" s="452"/>
      <c r="V47" s="452"/>
      <c r="W47" s="453"/>
    </row>
    <row r="48" spans="1:24" s="83" customFormat="1" ht="5.65" customHeight="1">
      <c r="A48" s="93"/>
      <c r="B48" s="79"/>
      <c r="C48" s="963"/>
      <c r="D48" s="963"/>
      <c r="E48" s="963"/>
      <c r="F48" s="79"/>
      <c r="G48" s="79"/>
      <c r="H48" s="79"/>
      <c r="I48" s="79"/>
      <c r="J48" s="79"/>
      <c r="K48" s="763"/>
      <c r="L48" s="763"/>
      <c r="M48" s="159"/>
      <c r="N48" s="601"/>
      <c r="O48" s="601"/>
      <c r="P48" s="601"/>
      <c r="Q48" s="79"/>
      <c r="R48" s="763"/>
      <c r="S48" s="159"/>
      <c r="T48" s="159"/>
      <c r="U48" s="160"/>
      <c r="V48" s="161"/>
      <c r="W48" s="161"/>
      <c r="X48" s="74"/>
    </row>
    <row r="49" spans="1:24" s="459" customFormat="1" ht="12" customHeight="1">
      <c r="A49" s="166" t="s">
        <v>124</v>
      </c>
      <c r="B49" s="75"/>
      <c r="C49" s="963"/>
      <c r="D49" s="963"/>
      <c r="E49" s="963"/>
      <c r="F49" s="75"/>
      <c r="G49" s="75"/>
      <c r="H49" s="75"/>
      <c r="I49" s="75"/>
      <c r="J49" s="75"/>
      <c r="K49" s="765"/>
      <c r="L49" s="765"/>
      <c r="M49" s="167"/>
      <c r="N49" s="605"/>
      <c r="O49" s="605"/>
      <c r="P49" s="605"/>
      <c r="Q49" s="79"/>
      <c r="R49" s="765"/>
      <c r="S49" s="167"/>
      <c r="T49" s="167"/>
      <c r="U49" s="462"/>
      <c r="V49" s="462"/>
      <c r="W49" s="462"/>
    </row>
    <row r="50" spans="1:24" s="83" customFormat="1" ht="12" customHeight="1">
      <c r="A50" s="134" t="s">
        <v>125</v>
      </c>
      <c r="B50" s="959"/>
      <c r="C50" s="971"/>
      <c r="D50" s="971"/>
      <c r="E50" s="971"/>
      <c r="F50" s="523"/>
      <c r="G50" s="504"/>
      <c r="H50" s="504"/>
      <c r="I50" s="504"/>
      <c r="J50" s="956"/>
      <c r="K50" s="766"/>
      <c r="L50" s="767"/>
      <c r="M50" s="655"/>
      <c r="N50" s="655"/>
      <c r="O50" s="655"/>
      <c r="P50" s="656"/>
      <c r="Q50" s="79"/>
      <c r="R50" s="766"/>
      <c r="S50" s="767"/>
      <c r="T50" s="655"/>
      <c r="U50" s="655"/>
      <c r="V50" s="655"/>
      <c r="W50" s="656"/>
      <c r="X50" s="74"/>
    </row>
    <row r="51" spans="1:24" s="83" customFormat="1" ht="12" customHeight="1">
      <c r="A51" s="137" t="s">
        <v>126</v>
      </c>
      <c r="B51" s="959"/>
      <c r="C51" s="971"/>
      <c r="D51" s="971"/>
      <c r="E51" s="971"/>
      <c r="F51" s="480"/>
      <c r="G51" s="481"/>
      <c r="H51" s="481"/>
      <c r="I51" s="481"/>
      <c r="J51" s="708"/>
      <c r="K51" s="768"/>
      <c r="L51" s="769"/>
      <c r="M51" s="657"/>
      <c r="N51" s="657"/>
      <c r="O51" s="657"/>
      <c r="P51" s="658"/>
      <c r="Q51" s="79"/>
      <c r="R51" s="768"/>
      <c r="S51" s="769"/>
      <c r="T51" s="657"/>
      <c r="U51" s="657"/>
      <c r="V51" s="657"/>
      <c r="W51" s="658"/>
      <c r="X51" s="74"/>
    </row>
    <row r="52" spans="1:24" s="83" customFormat="1" ht="12" customHeight="1">
      <c r="A52" s="153" t="s">
        <v>127</v>
      </c>
      <c r="B52" s="959"/>
      <c r="C52" s="975"/>
      <c r="D52" s="975"/>
      <c r="E52" s="975"/>
      <c r="F52" s="444"/>
      <c r="G52" s="445"/>
      <c r="H52" s="445"/>
      <c r="I52" s="445"/>
      <c r="J52" s="1022"/>
      <c r="K52" s="770"/>
      <c r="L52" s="771"/>
      <c r="M52" s="659"/>
      <c r="N52" s="659"/>
      <c r="O52" s="659"/>
      <c r="P52" s="660"/>
      <c r="Q52" s="79"/>
      <c r="R52" s="770"/>
      <c r="S52" s="771"/>
      <c r="T52" s="659"/>
      <c r="U52" s="659"/>
      <c r="V52" s="659"/>
      <c r="W52" s="660"/>
      <c r="X52" s="74"/>
    </row>
    <row r="53" spans="1:24" s="83" customFormat="1" ht="5.65" customHeight="1">
      <c r="A53" s="93"/>
      <c r="B53" s="79"/>
      <c r="C53" s="963"/>
      <c r="D53" s="963"/>
      <c r="E53" s="963"/>
      <c r="F53" s="79"/>
      <c r="G53" s="79"/>
      <c r="H53" s="79"/>
      <c r="I53" s="79"/>
      <c r="J53" s="79"/>
      <c r="K53" s="763"/>
      <c r="L53" s="763"/>
      <c r="M53" s="159"/>
      <c r="N53" s="601"/>
      <c r="O53" s="601"/>
      <c r="P53" s="601"/>
      <c r="Q53" s="79"/>
      <c r="R53" s="763"/>
      <c r="S53" s="159"/>
      <c r="T53" s="159"/>
      <c r="U53" s="160"/>
      <c r="V53" s="161"/>
      <c r="W53" s="161"/>
      <c r="X53" s="74"/>
    </row>
    <row r="54" spans="1:24" s="459" customFormat="1" ht="12" customHeight="1">
      <c r="A54" s="166" t="s">
        <v>128</v>
      </c>
      <c r="B54" s="75"/>
      <c r="C54" s="963"/>
      <c r="D54" s="963"/>
      <c r="E54" s="963"/>
      <c r="F54" s="75"/>
      <c r="G54" s="75"/>
      <c r="H54" s="75"/>
      <c r="I54" s="75"/>
      <c r="J54" s="75"/>
      <c r="K54" s="765"/>
      <c r="L54" s="765"/>
      <c r="M54" s="167"/>
      <c r="N54" s="605"/>
      <c r="O54" s="605"/>
      <c r="P54" s="605"/>
      <c r="Q54" s="79"/>
      <c r="R54" s="765"/>
      <c r="S54" s="167"/>
      <c r="T54" s="167"/>
      <c r="U54" s="462"/>
      <c r="V54" s="462"/>
      <c r="W54" s="462"/>
    </row>
    <row r="55" spans="1:24" s="463" customFormat="1" ht="12" customHeight="1">
      <c r="A55" s="169" t="s">
        <v>129</v>
      </c>
      <c r="B55" s="960"/>
      <c r="C55" s="977"/>
      <c r="D55" s="977"/>
      <c r="E55" s="977"/>
      <c r="F55" s="1005"/>
      <c r="G55" s="1006"/>
      <c r="H55" s="1006"/>
      <c r="I55" s="1006"/>
      <c r="J55" s="956"/>
      <c r="K55" s="1010"/>
      <c r="L55" s="1011"/>
      <c r="M55" s="1006"/>
      <c r="N55" s="1012"/>
      <c r="O55" s="1012"/>
      <c r="P55" s="1013"/>
      <c r="Q55" s="79"/>
      <c r="R55" s="1010"/>
      <c r="S55" s="8"/>
      <c r="T55" s="8"/>
      <c r="U55" s="510"/>
      <c r="V55" s="511"/>
      <c r="W55" s="512"/>
    </row>
    <row r="56" spans="1:24" s="83" customFormat="1" ht="12" customHeight="1">
      <c r="A56" s="137" t="s">
        <v>130</v>
      </c>
      <c r="B56" s="959"/>
      <c r="C56" s="971"/>
      <c r="D56" s="971"/>
      <c r="E56" s="971"/>
      <c r="F56" s="480"/>
      <c r="G56" s="481"/>
      <c r="H56" s="481"/>
      <c r="I56" s="481"/>
      <c r="J56" s="708"/>
      <c r="K56" s="745"/>
      <c r="L56" s="746"/>
      <c r="M56" s="481"/>
      <c r="N56" s="653"/>
      <c r="O56" s="653"/>
      <c r="P56" s="578"/>
      <c r="Q56" s="79"/>
      <c r="R56" s="745"/>
      <c r="S56" s="481"/>
      <c r="T56" s="481"/>
      <c r="U56" s="1016"/>
      <c r="V56" s="513"/>
      <c r="W56" s="514"/>
      <c r="X56" s="74"/>
    </row>
    <row r="57" spans="1:24" s="83" customFormat="1" ht="12" customHeight="1">
      <c r="A57" s="153" t="s">
        <v>131</v>
      </c>
      <c r="B57" s="959"/>
      <c r="C57" s="971"/>
      <c r="D57" s="971"/>
      <c r="E57" s="971"/>
      <c r="F57" s="1007"/>
      <c r="G57" s="1008"/>
      <c r="H57" s="1008"/>
      <c r="I57" s="1008"/>
      <c r="J57" s="1023"/>
      <c r="K57" s="1014"/>
      <c r="L57" s="1015"/>
      <c r="M57" s="1008"/>
      <c r="N57" s="932"/>
      <c r="O57" s="932"/>
      <c r="P57" s="1009"/>
      <c r="Q57" s="79"/>
      <c r="R57" s="1014"/>
      <c r="S57" s="1017"/>
      <c r="T57" s="1017"/>
      <c r="U57" s="1017"/>
      <c r="V57" s="447"/>
      <c r="W57" s="448"/>
      <c r="X57" s="74"/>
    </row>
    <row r="58" spans="1:24" ht="12" customHeight="1">
      <c r="A58" s="170"/>
      <c r="B58" s="171"/>
      <c r="C58" s="978"/>
      <c r="D58" s="978"/>
      <c r="E58" s="978"/>
      <c r="F58" s="171"/>
      <c r="G58" s="171"/>
      <c r="H58" s="171"/>
      <c r="I58" s="171"/>
      <c r="J58" s="171"/>
      <c r="K58" s="774"/>
      <c r="L58" s="774"/>
      <c r="M58" s="172"/>
      <c r="N58" s="661"/>
      <c r="O58" s="661"/>
      <c r="P58" s="661"/>
      <c r="Q58" s="79"/>
      <c r="R58" s="774"/>
      <c r="S58" s="172"/>
      <c r="T58" s="172"/>
      <c r="U58" s="467"/>
      <c r="V58" s="467"/>
      <c r="W58" s="467"/>
    </row>
    <row r="59" spans="1:24" ht="15.6" customHeight="1">
      <c r="A59" s="91" t="s">
        <v>132</v>
      </c>
      <c r="B59" s="91"/>
      <c r="C59" s="969"/>
      <c r="D59" s="969"/>
      <c r="E59" s="969"/>
      <c r="F59" s="91"/>
      <c r="G59" s="91"/>
      <c r="H59" s="91"/>
      <c r="I59" s="91"/>
      <c r="J59" s="91"/>
      <c r="K59" s="742"/>
      <c r="L59" s="742"/>
      <c r="M59" s="93"/>
      <c r="N59" s="586"/>
      <c r="O59" s="586"/>
      <c r="P59" s="587"/>
      <c r="Q59" s="79"/>
      <c r="R59" s="742"/>
      <c r="S59" s="93"/>
      <c r="T59" s="93"/>
      <c r="U59" s="94"/>
      <c r="V59" s="94"/>
      <c r="W59" s="94"/>
    </row>
    <row r="60" spans="1:24" ht="12" customHeight="1">
      <c r="A60" s="173" t="s">
        <v>133</v>
      </c>
      <c r="B60" s="959"/>
      <c r="C60" s="971"/>
      <c r="D60" s="971"/>
      <c r="E60" s="971"/>
      <c r="F60" s="121">
        <v>3.4490749999999997</v>
      </c>
      <c r="G60" s="564">
        <v>2.5625</v>
      </c>
      <c r="H60" s="564">
        <v>2.6658500000000003</v>
      </c>
      <c r="I60" s="564">
        <v>2.7191670000000001</v>
      </c>
      <c r="J60" s="707">
        <v>2.8975</v>
      </c>
      <c r="K60" s="812">
        <f>K18*0.25%</f>
        <v>2.0660775</v>
      </c>
      <c r="L60" s="812">
        <f>L18*0.25%</f>
        <v>2.1115312049999999</v>
      </c>
      <c r="M60" s="564">
        <f t="shared" ref="M60" si="30">K60+L60</f>
        <v>4.1776087049999999</v>
      </c>
      <c r="N60" s="812">
        <f>N18*0.25%</f>
        <v>2.1537618291</v>
      </c>
      <c r="O60" s="812">
        <f>O18*0.25%</f>
        <v>2.1968370656820002</v>
      </c>
      <c r="P60" s="812">
        <f>P18*0.25%</f>
        <v>2.24077380699564</v>
      </c>
      <c r="Q60" s="79"/>
      <c r="R60" s="812">
        <f>R18*0.25%</f>
        <v>2.0660775</v>
      </c>
      <c r="S60" s="122"/>
      <c r="T60" s="564"/>
      <c r="U60" s="123"/>
      <c r="V60" s="123"/>
      <c r="W60" s="124"/>
    </row>
    <row r="61" spans="1:24" s="112" customFormat="1" ht="12" customHeight="1">
      <c r="A61" s="174" t="s">
        <v>134</v>
      </c>
      <c r="B61" s="961"/>
      <c r="C61" s="972"/>
      <c r="D61" s="972"/>
      <c r="E61" s="972"/>
      <c r="F61" s="175">
        <f t="shared" ref="F61:P61" si="31">F18-F60</f>
        <v>1376.1809249999999</v>
      </c>
      <c r="G61" s="176">
        <f t="shared" si="31"/>
        <v>1022.4375</v>
      </c>
      <c r="H61" s="176">
        <f t="shared" si="31"/>
        <v>1063.6741500000001</v>
      </c>
      <c r="I61" s="176">
        <f t="shared" si="31"/>
        <v>1084.947633</v>
      </c>
      <c r="J61" s="220">
        <f t="shared" si="31"/>
        <v>1156.1025</v>
      </c>
      <c r="K61" s="754">
        <f t="shared" si="31"/>
        <v>824.36492250000003</v>
      </c>
      <c r="L61" s="755">
        <f t="shared" si="31"/>
        <v>842.50095079499999</v>
      </c>
      <c r="M61" s="176">
        <f t="shared" si="31"/>
        <v>1666.865873295</v>
      </c>
      <c r="N61" s="607">
        <f t="shared" si="31"/>
        <v>859.3509698109001</v>
      </c>
      <c r="O61" s="607">
        <f t="shared" si="31"/>
        <v>876.53798920711802</v>
      </c>
      <c r="P61" s="608">
        <f t="shared" si="31"/>
        <v>894.06874899126024</v>
      </c>
      <c r="Q61" s="79"/>
      <c r="R61" s="754">
        <f t="shared" ref="R61" si="32">R18-R60</f>
        <v>824.36492250000003</v>
      </c>
      <c r="S61" s="176"/>
      <c r="T61" s="176"/>
      <c r="U61" s="177"/>
      <c r="V61" s="177"/>
      <c r="W61" s="178"/>
    </row>
    <row r="62" spans="1:24" s="179" customFormat="1" ht="12" customHeight="1">
      <c r="A62" s="93"/>
      <c r="B62" s="79"/>
      <c r="C62" s="963"/>
      <c r="D62" s="963"/>
      <c r="E62" s="963"/>
      <c r="F62" s="79"/>
      <c r="G62" s="79"/>
      <c r="H62" s="79"/>
      <c r="I62" s="79"/>
      <c r="J62" s="79"/>
      <c r="K62" s="775"/>
      <c r="L62" s="775"/>
      <c r="M62" s="217"/>
      <c r="N62" s="662"/>
      <c r="O62" s="662"/>
      <c r="P62" s="662"/>
      <c r="Q62" s="79"/>
      <c r="R62" s="775"/>
      <c r="S62" s="217"/>
      <c r="T62" s="217"/>
      <c r="U62" s="218"/>
      <c r="V62" s="218"/>
      <c r="W62" s="218"/>
      <c r="X62" s="74"/>
    </row>
    <row r="63" spans="1:24" ht="15.6" customHeight="1">
      <c r="A63" s="91" t="s">
        <v>135</v>
      </c>
      <c r="B63" s="91"/>
      <c r="C63" s="969"/>
      <c r="D63" s="969"/>
      <c r="E63" s="969"/>
      <c r="F63" s="91"/>
      <c r="G63" s="91"/>
      <c r="H63" s="91"/>
      <c r="I63" s="91"/>
      <c r="J63" s="91"/>
      <c r="K63" s="742"/>
      <c r="L63" s="742"/>
      <c r="M63" s="93"/>
      <c r="N63" s="586"/>
      <c r="O63" s="586"/>
      <c r="P63" s="587"/>
      <c r="Q63" s="79"/>
      <c r="R63" s="742"/>
      <c r="S63" s="93"/>
      <c r="T63" s="93"/>
      <c r="U63" s="94"/>
      <c r="V63" s="94"/>
      <c r="W63" s="94"/>
    </row>
    <row r="64" spans="1:24" s="184" customFormat="1" ht="12" customHeight="1">
      <c r="A64" s="134" t="s">
        <v>136</v>
      </c>
      <c r="B64" s="79"/>
      <c r="C64" s="979"/>
      <c r="D64" s="979"/>
      <c r="E64" s="979"/>
      <c r="F64" s="532"/>
      <c r="G64" s="533"/>
      <c r="H64" s="533"/>
      <c r="I64" s="533"/>
      <c r="J64" s="1024"/>
      <c r="K64" s="776"/>
      <c r="L64" s="777"/>
      <c r="M64" s="533"/>
      <c r="N64" s="663"/>
      <c r="O64" s="663"/>
      <c r="P64" s="664"/>
      <c r="Q64" s="79"/>
      <c r="R64" s="776"/>
      <c r="S64" s="533"/>
      <c r="T64" s="533"/>
      <c r="U64" s="533"/>
      <c r="V64" s="533"/>
      <c r="W64" s="534"/>
      <c r="X64" s="74"/>
    </row>
    <row r="65" spans="1:24" s="179" customFormat="1" ht="12" customHeight="1">
      <c r="A65" s="137" t="s">
        <v>137</v>
      </c>
      <c r="B65" s="79"/>
      <c r="C65" s="980"/>
      <c r="D65" s="980"/>
      <c r="E65" s="980"/>
      <c r="F65" s="535"/>
      <c r="G65" s="536"/>
      <c r="H65" s="536"/>
      <c r="I65" s="536"/>
      <c r="J65" s="1025"/>
      <c r="K65" s="778"/>
      <c r="L65" s="779"/>
      <c r="M65" s="536"/>
      <c r="N65" s="665"/>
      <c r="O65" s="665"/>
      <c r="P65" s="666"/>
      <c r="Q65" s="79"/>
      <c r="R65" s="778"/>
      <c r="S65" s="536"/>
      <c r="T65" s="536"/>
      <c r="U65" s="536"/>
      <c r="V65" s="536"/>
      <c r="W65" s="537"/>
      <c r="X65" s="74"/>
    </row>
    <row r="66" spans="1:24" s="179" customFormat="1" ht="12" customHeight="1">
      <c r="A66" s="188" t="s">
        <v>138</v>
      </c>
      <c r="B66" s="189"/>
      <c r="C66" s="972"/>
      <c r="D66" s="972"/>
      <c r="E66" s="972"/>
      <c r="F66" s="109">
        <f t="shared" ref="F66:J66" si="33">F61</f>
        <v>1376.1809249999999</v>
      </c>
      <c r="G66" s="567">
        <f t="shared" si="33"/>
        <v>1022.4375</v>
      </c>
      <c r="H66" s="567">
        <f t="shared" si="33"/>
        <v>1063.6741500000001</v>
      </c>
      <c r="I66" s="567">
        <f t="shared" si="33"/>
        <v>1084.947633</v>
      </c>
      <c r="J66" s="219">
        <f t="shared" si="33"/>
        <v>1156.1025</v>
      </c>
      <c r="K66" s="737">
        <f t="shared" ref="K66:P66" si="34">K61</f>
        <v>824.36492250000003</v>
      </c>
      <c r="L66" s="738">
        <f t="shared" si="34"/>
        <v>842.50095079499999</v>
      </c>
      <c r="M66" s="567">
        <f>K66+L66</f>
        <v>1666.865873295</v>
      </c>
      <c r="N66" s="582">
        <f t="shared" si="34"/>
        <v>859.3509698109001</v>
      </c>
      <c r="O66" s="582">
        <f t="shared" si="34"/>
        <v>876.53798920711802</v>
      </c>
      <c r="P66" s="581">
        <f t="shared" si="34"/>
        <v>894.06874899126024</v>
      </c>
      <c r="Q66" s="79"/>
      <c r="R66" s="737">
        <f t="shared" ref="R66" si="35">R61</f>
        <v>824.36492250000003</v>
      </c>
      <c r="S66" s="110"/>
      <c r="T66" s="567"/>
      <c r="U66" s="530"/>
      <c r="V66" s="190"/>
      <c r="W66" s="191"/>
      <c r="X66" s="74"/>
    </row>
    <row r="67" spans="1:24" s="179" customFormat="1" ht="12" customHeight="1">
      <c r="A67" s="192" t="s">
        <v>99</v>
      </c>
      <c r="B67" s="79"/>
      <c r="C67" s="981"/>
      <c r="D67" s="981"/>
      <c r="E67" s="981"/>
      <c r="F67" s="1002"/>
      <c r="G67" s="193">
        <f t="shared" ref="G67:J67" si="36">G66/F66-1</f>
        <v>-0.25704717931619336</v>
      </c>
      <c r="H67" s="193">
        <f t="shared" si="36"/>
        <v>4.0331707317073251E-2</v>
      </c>
      <c r="I67" s="193">
        <f t="shared" si="36"/>
        <v>2.0000000000000018E-2</v>
      </c>
      <c r="J67" s="929">
        <f t="shared" si="36"/>
        <v>6.5583687945609759E-2</v>
      </c>
      <c r="K67" s="780">
        <f t="shared" ref="K67" si="37">K66/J66-1</f>
        <v>-0.2869447799827437</v>
      </c>
      <c r="L67" s="781">
        <f t="shared" ref="L67" si="38">L66/K66-1</f>
        <v>2.200000000000002E-2</v>
      </c>
      <c r="M67" s="718"/>
      <c r="N67" s="647">
        <f t="shared" ref="N67" si="39">N66/L66-1</f>
        <v>2.0000000000000018E-2</v>
      </c>
      <c r="O67" s="647">
        <f t="shared" ref="O67" si="40">O66/N66-1</f>
        <v>1.9999999999999796E-2</v>
      </c>
      <c r="P67" s="615">
        <f t="shared" ref="P67" si="41">P66/O66-1</f>
        <v>1.9999999999999796E-2</v>
      </c>
      <c r="Q67" s="79"/>
      <c r="R67" s="780">
        <f>+R66/J66-1</f>
        <v>-0.2869447799827437</v>
      </c>
      <c r="S67" s="567"/>
      <c r="T67" s="567"/>
      <c r="U67" s="530"/>
      <c r="V67" s="193"/>
      <c r="W67" s="195"/>
      <c r="X67" s="74"/>
    </row>
    <row r="68" spans="1:24" s="179" customFormat="1" ht="12" customHeight="1">
      <c r="A68" s="196" t="s">
        <v>139</v>
      </c>
      <c r="B68" s="197"/>
      <c r="C68" s="982"/>
      <c r="D68" s="982"/>
      <c r="E68" s="982"/>
      <c r="F68" s="198">
        <f>'T1'!F68</f>
        <v>246.09299999999999</v>
      </c>
      <c r="G68" s="111">
        <f>'T1'!G68</f>
        <v>245.18199999999999</v>
      </c>
      <c r="H68" s="111">
        <f>'T1'!H68</f>
        <v>249.824836137597</v>
      </c>
      <c r="I68" s="111">
        <f>'T1'!I68</f>
        <v>256.3</v>
      </c>
      <c r="J68" s="1026">
        <f>'T1'!J68</f>
        <v>256.00565702730603</v>
      </c>
      <c r="K68" s="782">
        <f>'T1'!K68</f>
        <v>134.32968502803001</v>
      </c>
      <c r="L68" s="783">
        <f>'T1'!L68</f>
        <v>139.24003148171201</v>
      </c>
      <c r="M68" s="111">
        <f>K68+L68</f>
        <v>273.56971650974202</v>
      </c>
      <c r="N68" s="648">
        <f>'T1'!N68</f>
        <v>204.80311130053201</v>
      </c>
      <c r="O68" s="648">
        <f>'T1'!O68</f>
        <v>240.42251109710699</v>
      </c>
      <c r="P68" s="618">
        <f>'T1'!P68</f>
        <v>258.33819951035298</v>
      </c>
      <c r="Q68" s="79"/>
      <c r="R68" s="782">
        <f>'T1'!R68</f>
        <v>134.32968502803001</v>
      </c>
      <c r="S68" s="567"/>
      <c r="T68" s="567"/>
      <c r="U68" s="530"/>
      <c r="V68" s="190"/>
      <c r="W68" s="191"/>
      <c r="X68" s="74"/>
    </row>
    <row r="69" spans="1:24" s="179" customFormat="1" ht="12" customHeight="1">
      <c r="A69" s="192" t="s">
        <v>99</v>
      </c>
      <c r="B69" s="197"/>
      <c r="C69" s="981"/>
      <c r="D69" s="981"/>
      <c r="E69" s="981"/>
      <c r="F69" s="1002"/>
      <c r="G69" s="193">
        <f t="shared" ref="G69:J69" si="42">G68/F68-1</f>
        <v>-3.7018525516776535E-3</v>
      </c>
      <c r="H69" s="193">
        <f t="shared" si="42"/>
        <v>1.8936284627733668E-2</v>
      </c>
      <c r="I69" s="193">
        <f t="shared" si="42"/>
        <v>2.5918815609015988E-2</v>
      </c>
      <c r="J69" s="929">
        <f t="shared" si="42"/>
        <v>-1.14843141901666E-3</v>
      </c>
      <c r="K69" s="780">
        <f t="shared" ref="K69" si="43">K68/J68-1</f>
        <v>-0.47528626285901887</v>
      </c>
      <c r="L69" s="781">
        <f t="shared" ref="L69" si="44">L68/K68-1</f>
        <v>3.6554440313452563E-2</v>
      </c>
      <c r="M69" s="718"/>
      <c r="N69" s="647">
        <f t="shared" ref="N69" si="45">N68/L68-1</f>
        <v>0.47086372447015101</v>
      </c>
      <c r="O69" s="647">
        <f t="shared" ref="O69" si="46">O68/N68-1</f>
        <v>0.17392020839129918</v>
      </c>
      <c r="P69" s="615">
        <f t="shared" ref="P69" si="47">P68/O68-1</f>
        <v>7.4517516398494799E-2</v>
      </c>
      <c r="Q69" s="79"/>
      <c r="R69" s="780">
        <f>+R68/J68-1</f>
        <v>-0.47528626285901887</v>
      </c>
      <c r="S69" s="567"/>
      <c r="T69" s="567"/>
      <c r="U69" s="530"/>
      <c r="V69" s="193"/>
      <c r="W69" s="195"/>
      <c r="X69" s="74"/>
    </row>
    <row r="70" spans="1:24" s="179" customFormat="1" ht="12" customHeight="1">
      <c r="A70" s="196" t="s">
        <v>140</v>
      </c>
      <c r="B70" s="197"/>
      <c r="C70" s="983"/>
      <c r="D70" s="983"/>
      <c r="E70" s="983"/>
      <c r="F70" s="199">
        <f t="shared" ref="F70:J70" si="48">F66/F68</f>
        <v>5.592117309309895</v>
      </c>
      <c r="G70" s="200">
        <f t="shared" si="48"/>
        <v>4.1701164848969343</v>
      </c>
      <c r="H70" s="200">
        <f t="shared" si="48"/>
        <v>4.2576797665311226</v>
      </c>
      <c r="I70" s="200">
        <f t="shared" si="48"/>
        <v>4.233116008583691</v>
      </c>
      <c r="J70" s="1027">
        <f t="shared" si="48"/>
        <v>4.5159255987717799</v>
      </c>
      <c r="K70" s="784">
        <f t="shared" ref="K70:P70" si="49">K66/K68</f>
        <v>6.1368782509091959</v>
      </c>
      <c r="L70" s="785">
        <f t="shared" si="49"/>
        <v>6.0507092811570882</v>
      </c>
      <c r="M70" s="200">
        <f>M66/M68</f>
        <v>6.0930204357456414</v>
      </c>
      <c r="N70" s="649">
        <f t="shared" si="49"/>
        <v>4.1959859122934517</v>
      </c>
      <c r="O70" s="649">
        <f t="shared" si="49"/>
        <v>3.6458232850462289</v>
      </c>
      <c r="P70" s="619">
        <f t="shared" si="49"/>
        <v>3.4608460951026725</v>
      </c>
      <c r="Q70" s="79"/>
      <c r="R70" s="784">
        <f t="shared" ref="R70" si="50">R66/R68</f>
        <v>6.1368782509091959</v>
      </c>
      <c r="S70" s="202"/>
      <c r="T70" s="202"/>
      <c r="U70" s="201"/>
      <c r="V70" s="190"/>
      <c r="W70" s="191"/>
      <c r="X70" s="74"/>
    </row>
    <row r="71" spans="1:24" ht="12" customHeight="1">
      <c r="A71" s="203" t="s">
        <v>99</v>
      </c>
      <c r="B71" s="197"/>
      <c r="C71" s="981"/>
      <c r="D71" s="981"/>
      <c r="E71" s="981"/>
      <c r="F71" s="1003"/>
      <c r="G71" s="204">
        <f t="shared" ref="G71:J71" si="51">G70/F70-1</f>
        <v>-0.25428665848006771</v>
      </c>
      <c r="H71" s="204">
        <f t="shared" si="51"/>
        <v>2.0997802327901161E-2</v>
      </c>
      <c r="I71" s="204">
        <f t="shared" si="51"/>
        <v>-5.7692826361726013E-3</v>
      </c>
      <c r="J71" s="1028">
        <f t="shared" si="51"/>
        <v>6.6808844740995132E-2</v>
      </c>
      <c r="K71" s="786">
        <f t="shared" ref="K71" si="52">K70/J70-1</f>
        <v>0.35894139898546484</v>
      </c>
      <c r="L71" s="787">
        <f t="shared" ref="L71" si="53">L70/K70-1</f>
        <v>-1.4041173089810233E-2</v>
      </c>
      <c r="M71" s="447"/>
      <c r="N71" s="650">
        <f t="shared" ref="N71" si="54">N70/L70-1</f>
        <v>-0.30652990958259263</v>
      </c>
      <c r="O71" s="650">
        <f t="shared" ref="O71" si="55">O70/N70-1</f>
        <v>-0.1311164142938015</v>
      </c>
      <c r="P71" s="622">
        <f t="shared" ref="P71" si="56">P70/O70-1</f>
        <v>-5.0736740505844535E-2</v>
      </c>
      <c r="Q71" s="79"/>
      <c r="R71" s="786">
        <f>+R70/J70-1</f>
        <v>0.35894139898546484</v>
      </c>
      <c r="S71" s="204"/>
      <c r="T71" s="204"/>
      <c r="U71" s="157"/>
      <c r="V71" s="204"/>
      <c r="W71" s="205"/>
    </row>
    <row r="72" spans="1:24" s="450" customFormat="1" ht="12" customHeight="1">
      <c r="A72" s="206"/>
      <c r="B72" s="197"/>
      <c r="C72" s="984"/>
      <c r="D72" s="984"/>
      <c r="E72" s="984"/>
      <c r="F72" s="197"/>
      <c r="G72" s="197"/>
      <c r="H72" s="197"/>
      <c r="I72" s="197"/>
      <c r="J72" s="197"/>
      <c r="K72" s="788"/>
      <c r="L72" s="788"/>
      <c r="M72" s="194"/>
      <c r="N72" s="194"/>
      <c r="O72" s="194"/>
      <c r="P72" s="194"/>
      <c r="Q72" s="79"/>
      <c r="R72" s="788"/>
      <c r="S72" s="179"/>
      <c r="T72" s="179"/>
      <c r="U72" s="179"/>
      <c r="V72" s="179"/>
      <c r="W72" s="179"/>
    </row>
    <row r="73" spans="1:24" s="450" customFormat="1" ht="12" customHeight="1">
      <c r="A73" s="207" t="s">
        <v>141</v>
      </c>
      <c r="B73" s="83"/>
      <c r="C73" s="967"/>
      <c r="D73" s="967"/>
      <c r="E73" s="967"/>
      <c r="F73" s="83"/>
      <c r="G73" s="83"/>
      <c r="H73" s="83"/>
      <c r="I73" s="83"/>
      <c r="J73" s="83"/>
      <c r="K73" s="207"/>
      <c r="L73" s="207"/>
      <c r="M73" s="83"/>
      <c r="N73" s="83"/>
      <c r="O73" s="83"/>
      <c r="P73" s="83"/>
      <c r="Q73" s="79"/>
      <c r="R73" s="207"/>
      <c r="S73" s="74"/>
      <c r="T73" s="74"/>
      <c r="U73" s="74"/>
      <c r="V73" s="74"/>
      <c r="W73" s="74"/>
    </row>
    <row r="74" spans="1:24" s="459" customFormat="1" ht="12" customHeight="1">
      <c r="A74" s="208" t="s">
        <v>499</v>
      </c>
      <c r="B74" s="209"/>
      <c r="C74" s="985"/>
      <c r="D74" s="985"/>
      <c r="E74" s="985"/>
      <c r="F74" s="209"/>
      <c r="G74" s="209"/>
      <c r="H74" s="209"/>
      <c r="I74" s="209"/>
      <c r="J74" s="209"/>
      <c r="K74" s="215"/>
      <c r="L74" s="215"/>
      <c r="M74" s="210"/>
      <c r="N74" s="182"/>
      <c r="O74" s="469"/>
      <c r="P74" s="211"/>
      <c r="Q74" s="79"/>
      <c r="R74" s="215"/>
      <c r="S74" s="450"/>
      <c r="T74" s="450"/>
      <c r="U74" s="450"/>
      <c r="V74" s="450"/>
      <c r="W74" s="450"/>
    </row>
    <row r="75" spans="1:24" s="459" customFormat="1" ht="12" customHeight="1">
      <c r="A75" s="208" t="s">
        <v>142</v>
      </c>
      <c r="B75" s="212"/>
      <c r="C75" s="986"/>
      <c r="D75" s="986"/>
      <c r="E75" s="986"/>
      <c r="F75" s="212"/>
      <c r="G75" s="212"/>
      <c r="H75" s="212"/>
      <c r="I75" s="212"/>
      <c r="J75" s="212"/>
      <c r="K75" s="215"/>
      <c r="L75" s="215"/>
      <c r="M75" s="215"/>
      <c r="N75" s="215"/>
      <c r="O75" s="470"/>
      <c r="P75" s="210"/>
      <c r="Q75" s="79"/>
      <c r="R75" s="215"/>
      <c r="S75" s="74"/>
      <c r="T75" s="74"/>
      <c r="U75" s="74"/>
      <c r="V75" s="74"/>
      <c r="W75" s="74"/>
    </row>
    <row r="76" spans="1:24" ht="12" customHeight="1">
      <c r="A76" s="208" t="s">
        <v>143</v>
      </c>
      <c r="B76" s="213"/>
      <c r="C76" s="987"/>
      <c r="D76" s="987"/>
      <c r="E76" s="987"/>
      <c r="F76" s="213"/>
      <c r="G76" s="213"/>
      <c r="H76" s="213"/>
      <c r="I76" s="213"/>
      <c r="J76" s="213"/>
      <c r="K76" s="723"/>
      <c r="L76" s="723"/>
      <c r="M76" s="214"/>
      <c r="N76" s="214"/>
      <c r="O76" s="471"/>
      <c r="P76" s="472"/>
      <c r="Q76" s="79"/>
      <c r="R76" s="723"/>
      <c r="S76" s="459"/>
      <c r="T76" s="459"/>
      <c r="U76" s="459"/>
      <c r="V76" s="459"/>
      <c r="W76" s="459"/>
    </row>
    <row r="77" spans="1:24" s="459" customFormat="1" ht="12" customHeight="1">
      <c r="A77" s="208"/>
      <c r="B77" s="83"/>
      <c r="C77" s="967"/>
      <c r="D77" s="967"/>
      <c r="E77" s="967"/>
      <c r="F77" s="83"/>
      <c r="G77" s="83"/>
      <c r="H77" s="83"/>
      <c r="I77" s="83"/>
      <c r="J77" s="83"/>
      <c r="K77" s="725"/>
      <c r="L77" s="725"/>
      <c r="M77" s="473"/>
      <c r="N77" s="473"/>
      <c r="O77" s="710"/>
      <c r="P77" s="472"/>
      <c r="Q77" s="79"/>
      <c r="R77" s="725"/>
    </row>
    <row r="78" spans="1:24" ht="12" customHeight="1">
      <c r="A78" s="474"/>
      <c r="B78" s="474"/>
      <c r="C78" s="988"/>
      <c r="D78" s="988"/>
      <c r="E78" s="988"/>
      <c r="F78" s="75"/>
      <c r="G78" s="75"/>
      <c r="H78" s="75"/>
      <c r="I78" s="75"/>
      <c r="J78" s="75"/>
      <c r="K78" s="475"/>
      <c r="L78" s="475"/>
      <c r="M78" s="475"/>
      <c r="N78" s="475"/>
      <c r="O78" s="475"/>
      <c r="P78" s="214"/>
      <c r="Q78" s="79"/>
      <c r="R78" s="475"/>
    </row>
    <row r="79" spans="1:24" ht="12" customHeight="1">
      <c r="A79" s="75"/>
      <c r="B79" s="75"/>
      <c r="F79" s="75"/>
      <c r="G79" s="75"/>
      <c r="H79" s="75"/>
      <c r="I79" s="75"/>
      <c r="J79" s="75"/>
      <c r="K79" s="475"/>
      <c r="L79" s="475"/>
      <c r="M79" s="79"/>
      <c r="N79" s="79"/>
      <c r="O79" s="79"/>
      <c r="P79" s="79"/>
      <c r="Q79" s="79"/>
      <c r="R79" s="475"/>
      <c r="S79" s="459"/>
      <c r="T79" s="459"/>
      <c r="U79" s="459"/>
      <c r="V79" s="459"/>
      <c r="W79" s="459"/>
    </row>
    <row r="80" spans="1:24" s="459" customFormat="1" ht="12" customHeight="1">
      <c r="A80" s="208"/>
      <c r="B80" s="83"/>
      <c r="C80" s="967"/>
      <c r="D80" s="967"/>
      <c r="E80" s="967"/>
      <c r="F80" s="83"/>
      <c r="G80" s="1039"/>
      <c r="H80" s="1039"/>
      <c r="I80" s="1039"/>
      <c r="J80" s="1039"/>
      <c r="K80" s="670"/>
      <c r="L80" s="670"/>
      <c r="M80" s="90"/>
      <c r="N80" s="670"/>
      <c r="O80" s="670"/>
      <c r="P80" s="670"/>
      <c r="Q80" s="79"/>
      <c r="R80" s="670"/>
    </row>
    <row r="81" spans="1:23" ht="12" customHeight="1">
      <c r="A81" s="474"/>
      <c r="B81" s="474"/>
      <c r="C81" s="988"/>
      <c r="D81" s="988"/>
      <c r="E81" s="988"/>
      <c r="F81" s="75"/>
      <c r="G81" s="75"/>
      <c r="H81" s="75"/>
      <c r="I81" s="1040"/>
      <c r="J81" s="75"/>
      <c r="K81" s="474"/>
      <c r="L81" s="474"/>
      <c r="N81" s="474"/>
      <c r="O81" s="474"/>
      <c r="P81" s="474"/>
      <c r="Q81" s="79"/>
      <c r="R81" s="474"/>
    </row>
    <row r="82" spans="1:23" ht="12" customHeight="1">
      <c r="A82" s="75"/>
      <c r="B82" s="75"/>
      <c r="F82" s="75"/>
      <c r="G82" s="75"/>
      <c r="H82" s="75"/>
      <c r="I82" s="75"/>
      <c r="J82" s="75"/>
      <c r="K82" s="474"/>
      <c r="L82" s="474"/>
      <c r="N82" s="75"/>
      <c r="O82" s="75"/>
      <c r="P82" s="75"/>
      <c r="Q82" s="79"/>
      <c r="R82" s="474"/>
      <c r="S82" s="459"/>
      <c r="T82" s="459"/>
      <c r="U82" s="459"/>
      <c r="V82" s="459"/>
      <c r="W82" s="459"/>
    </row>
    <row r="83" spans="1:23">
      <c r="F83" s="669"/>
      <c r="G83" s="669"/>
      <c r="H83" s="669"/>
      <c r="I83" s="669"/>
      <c r="J83" s="669"/>
      <c r="K83" s="727"/>
      <c r="L83" s="727"/>
      <c r="M83" s="74"/>
      <c r="N83" s="669"/>
      <c r="O83" s="669"/>
      <c r="P83" s="669"/>
      <c r="Q83" s="79"/>
      <c r="R83" s="727"/>
      <c r="S83" s="90"/>
      <c r="T83" s="90"/>
      <c r="U83" s="90"/>
      <c r="V83" s="90"/>
      <c r="W83" s="90"/>
    </row>
    <row r="84" spans="1:23">
      <c r="Q84" s="79"/>
    </row>
    <row r="85" spans="1:23">
      <c r="P85" s="74"/>
      <c r="Q85" s="79"/>
    </row>
    <row r="117" spans="1:18" ht="12" customHeight="1">
      <c r="A117" s="476"/>
      <c r="B117" s="74"/>
      <c r="C117" s="967"/>
      <c r="D117" s="967"/>
      <c r="E117" s="967"/>
      <c r="F117" s="74"/>
      <c r="G117" s="74"/>
      <c r="H117" s="74"/>
      <c r="I117" s="74"/>
      <c r="J117" s="74"/>
      <c r="K117" s="516"/>
      <c r="L117" s="516"/>
      <c r="M117" s="74"/>
      <c r="N117" s="74"/>
      <c r="O117" s="74"/>
      <c r="R117" s="516"/>
    </row>
    <row r="120" spans="1:18">
      <c r="P120" s="74"/>
      <c r="Q120" s="74"/>
    </row>
  </sheetData>
  <mergeCells count="3">
    <mergeCell ref="K7:P7"/>
    <mergeCell ref="R7:W7"/>
    <mergeCell ref="F7:J7"/>
  </mergeCells>
  <pageMargins left="0.7" right="0.7" top="0.75" bottom="0.75" header="0.3" footer="0.3"/>
  <pageSetup paperSize="9" scale="49" orientation="portrait" r:id="rId1"/>
  <ignoredErrors>
    <ignoredError sqref="F68:J68 F70:J70" 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121"/>
  <sheetViews>
    <sheetView showGridLines="0" zoomScale="120" zoomScaleNormal="120" workbookViewId="0">
      <selection activeCell="R12" sqref="R12:R17"/>
    </sheetView>
  </sheetViews>
  <sheetFormatPr baseColWidth="10" defaultColWidth="12.5703125" defaultRowHeight="12"/>
  <cols>
    <col min="1" max="1" width="30.7109375" style="90" customWidth="1"/>
    <col min="2" max="2" width="0.5703125" style="90" customWidth="1"/>
    <col min="3" max="5" width="8" style="963" hidden="1" customWidth="1"/>
    <col min="6" max="10" width="8.5703125" style="90" customWidth="1"/>
    <col min="11" max="12" width="8.5703125" style="728" customWidth="1"/>
    <col min="13" max="16" width="8.5703125" style="76" customWidth="1"/>
    <col min="17" max="17" width="0.5703125" style="76" customWidth="1"/>
    <col min="18" max="18" width="8.5703125" style="728" customWidth="1"/>
    <col min="19" max="23" width="8.5703125" style="74" customWidth="1"/>
    <col min="24" max="16384" width="12.5703125" style="74"/>
  </cols>
  <sheetData>
    <row r="1" spans="1:28" ht="12" customHeight="1">
      <c r="A1" s="73" t="s">
        <v>346</v>
      </c>
      <c r="B1" s="73"/>
      <c r="C1" s="962"/>
      <c r="D1" s="962"/>
      <c r="E1" s="962"/>
      <c r="F1" s="73"/>
      <c r="G1" s="73"/>
      <c r="H1" s="73"/>
      <c r="I1" s="73"/>
      <c r="J1" s="73"/>
      <c r="L1" s="729"/>
      <c r="M1" s="73"/>
      <c r="N1" s="73"/>
      <c r="O1" s="73"/>
      <c r="P1" s="73"/>
      <c r="Q1" s="73"/>
      <c r="S1" s="73"/>
      <c r="T1" s="73"/>
      <c r="U1" s="73"/>
      <c r="V1" s="73"/>
      <c r="W1" s="73"/>
    </row>
    <row r="2" spans="1:28" ht="12" customHeight="1">
      <c r="A2" s="75"/>
      <c r="B2" s="75"/>
      <c r="F2" s="75"/>
      <c r="G2" s="75"/>
      <c r="H2" s="75"/>
      <c r="I2" s="75"/>
      <c r="J2" s="75"/>
    </row>
    <row r="3" spans="1:28" ht="12" customHeight="1">
      <c r="A3" s="77" t="str">
        <f>Header!B3</f>
        <v>Norway - TCZ</v>
      </c>
      <c r="B3" s="78"/>
      <c r="C3" s="964"/>
      <c r="D3" s="964"/>
      <c r="E3" s="964"/>
      <c r="F3" s="78"/>
      <c r="G3" s="78"/>
      <c r="H3" s="78"/>
      <c r="I3" s="78"/>
      <c r="J3" s="78"/>
      <c r="K3" s="475"/>
      <c r="L3" s="475"/>
      <c r="M3" s="79"/>
      <c r="N3" s="79"/>
      <c r="O3" s="79"/>
      <c r="P3" s="79"/>
      <c r="Q3" s="79"/>
      <c r="R3" s="475"/>
      <c r="S3" s="430"/>
      <c r="T3" s="430"/>
      <c r="U3" s="430"/>
      <c r="V3" s="430"/>
      <c r="W3" s="430"/>
    </row>
    <row r="4" spans="1:28" ht="12" customHeight="1">
      <c r="A4" s="80" t="s">
        <v>695</v>
      </c>
      <c r="B4" s="78"/>
      <c r="C4" s="1031"/>
      <c r="E4" s="964"/>
      <c r="F4" s="78"/>
      <c r="G4" s="78"/>
      <c r="H4" s="78"/>
      <c r="I4" s="78"/>
      <c r="J4" s="78"/>
      <c r="K4" s="475"/>
      <c r="L4" s="475"/>
      <c r="M4" s="79"/>
      <c r="N4" s="79"/>
      <c r="O4" s="79"/>
      <c r="P4" s="79"/>
      <c r="Q4" s="79"/>
      <c r="R4" s="475"/>
    </row>
    <row r="5" spans="1:28" ht="12" customHeight="1">
      <c r="A5" s="81" t="s">
        <v>688</v>
      </c>
      <c r="B5" s="78"/>
      <c r="C5" s="964"/>
      <c r="D5" s="964"/>
      <c r="E5" s="964"/>
      <c r="F5" s="78"/>
      <c r="G5" s="78"/>
      <c r="H5" s="78"/>
      <c r="I5" s="79"/>
      <c r="J5" s="79"/>
      <c r="K5" s="475"/>
      <c r="L5" s="475"/>
      <c r="M5" s="79"/>
      <c r="N5" s="79"/>
      <c r="O5" s="79"/>
      <c r="P5" s="79"/>
      <c r="Q5" s="79"/>
      <c r="R5" s="475"/>
    </row>
    <row r="6" spans="1:28" ht="12" customHeight="1">
      <c r="A6" s="75"/>
      <c r="B6" s="75"/>
      <c r="F6" s="75"/>
      <c r="G6" s="75"/>
      <c r="H6" s="75"/>
      <c r="I6" s="75"/>
      <c r="J6" s="75"/>
    </row>
    <row r="7" spans="1:28" s="82" customFormat="1" ht="12" customHeight="1">
      <c r="C7" s="965"/>
      <c r="D7" s="966"/>
      <c r="E7" s="966"/>
      <c r="F7" s="1505" t="s">
        <v>555</v>
      </c>
      <c r="G7" s="1506"/>
      <c r="H7" s="1506"/>
      <c r="I7" s="1506"/>
      <c r="J7" s="1507"/>
      <c r="K7" s="1500" t="s">
        <v>345</v>
      </c>
      <c r="L7" s="1501"/>
      <c r="M7" s="1501"/>
      <c r="N7" s="1501"/>
      <c r="O7" s="1501"/>
      <c r="P7" s="1502"/>
      <c r="Q7" s="1004"/>
      <c r="R7" s="1505" t="s">
        <v>89</v>
      </c>
      <c r="S7" s="1506"/>
      <c r="T7" s="1506"/>
      <c r="U7" s="1506"/>
      <c r="V7" s="1506"/>
      <c r="W7" s="1507"/>
    </row>
    <row r="8" spans="1:28" ht="12" customHeight="1">
      <c r="A8" s="74"/>
      <c r="B8" s="74"/>
      <c r="C8" s="967"/>
      <c r="D8" s="967"/>
      <c r="E8" s="967"/>
      <c r="F8" s="74"/>
      <c r="G8" s="74"/>
      <c r="H8" s="74"/>
      <c r="I8" s="74"/>
      <c r="J8" s="74"/>
      <c r="K8" s="207"/>
      <c r="L8" s="207"/>
      <c r="M8" s="83"/>
      <c r="N8" s="83"/>
      <c r="O8" s="83"/>
      <c r="P8" s="83"/>
      <c r="Q8" s="83"/>
      <c r="R8" s="207"/>
    </row>
    <row r="9" spans="1:28" s="89" customFormat="1" ht="12" customHeight="1">
      <c r="A9" s="84" t="s">
        <v>90</v>
      </c>
      <c r="B9" s="75"/>
      <c r="C9" s="968"/>
      <c r="D9" s="968"/>
      <c r="E9" s="968"/>
      <c r="F9" s="85">
        <v>2015</v>
      </c>
      <c r="G9" s="86">
        <v>2016</v>
      </c>
      <c r="H9" s="86">
        <v>2017</v>
      </c>
      <c r="I9" s="86">
        <v>2018</v>
      </c>
      <c r="J9" s="87">
        <v>2019</v>
      </c>
      <c r="K9" s="711">
        <v>2020</v>
      </c>
      <c r="L9" s="711">
        <v>2021</v>
      </c>
      <c r="M9" s="86" t="s">
        <v>498</v>
      </c>
      <c r="N9" s="86">
        <v>2022</v>
      </c>
      <c r="O9" s="86">
        <v>2023</v>
      </c>
      <c r="P9" s="87">
        <v>2024</v>
      </c>
      <c r="Q9" s="88"/>
      <c r="R9" s="931">
        <v>2020</v>
      </c>
      <c r="S9" s="712">
        <v>2021</v>
      </c>
      <c r="T9" s="86" t="s">
        <v>498</v>
      </c>
      <c r="U9" s="86">
        <v>2022</v>
      </c>
      <c r="V9" s="86">
        <v>2023</v>
      </c>
      <c r="W9" s="87">
        <v>2024</v>
      </c>
    </row>
    <row r="10" spans="1:28" ht="12" customHeight="1">
      <c r="A10" s="75"/>
      <c r="B10" s="75"/>
      <c r="F10" s="75"/>
      <c r="G10" s="75"/>
      <c r="H10" s="75"/>
      <c r="I10" s="75"/>
      <c r="J10" s="75"/>
      <c r="K10" s="1408"/>
      <c r="L10" s="1408"/>
      <c r="M10" s="1409"/>
      <c r="N10" s="1410"/>
      <c r="O10" s="1410"/>
      <c r="P10" s="1409"/>
      <c r="R10" s="1408"/>
      <c r="S10" s="90"/>
      <c r="T10" s="90"/>
      <c r="U10" s="90"/>
      <c r="V10" s="90"/>
      <c r="W10" s="90"/>
    </row>
    <row r="11" spans="1:28" ht="15.6" customHeight="1">
      <c r="A11" s="91" t="s">
        <v>91</v>
      </c>
      <c r="B11" s="969"/>
      <c r="C11" s="969"/>
      <c r="D11" s="969"/>
      <c r="E11" s="969"/>
      <c r="F11" s="91"/>
      <c r="G11" s="91"/>
      <c r="H11" s="91"/>
      <c r="I11" s="91"/>
      <c r="J11" s="91"/>
      <c r="K11" s="730"/>
      <c r="L11" s="730"/>
      <c r="M11" s="93"/>
      <c r="N11" s="93"/>
      <c r="O11" s="93"/>
      <c r="P11" s="92"/>
      <c r="Q11" s="92"/>
      <c r="R11" s="730"/>
      <c r="S11" s="93"/>
      <c r="T11" s="93"/>
      <c r="U11" s="94"/>
      <c r="V11" s="94"/>
      <c r="W11" s="94"/>
    </row>
    <row r="12" spans="1:28" ht="12" customHeight="1">
      <c r="A12" s="95" t="s">
        <v>92</v>
      </c>
      <c r="B12" s="102"/>
      <c r="C12" s="970"/>
      <c r="D12" s="970"/>
      <c r="E12" s="970"/>
      <c r="F12" s="98">
        <v>72237.041879656172</v>
      </c>
      <c r="G12" s="99">
        <v>65153.64487911755</v>
      </c>
      <c r="H12" s="99">
        <v>59052.233777100795</v>
      </c>
      <c r="I12" s="99">
        <v>60451.701816549197</v>
      </c>
      <c r="J12" s="709">
        <v>62928.124260692392</v>
      </c>
      <c r="K12" s="731">
        <v>49224.411278239495</v>
      </c>
      <c r="L12" s="732">
        <v>46023.259085141028</v>
      </c>
      <c r="M12" s="99">
        <f t="shared" ref="M12:M17" si="0">K12+L12</f>
        <v>95247.670363380515</v>
      </c>
      <c r="N12" s="732">
        <v>46766.988812162948</v>
      </c>
      <c r="O12" s="732">
        <v>47668.035714600439</v>
      </c>
      <c r="P12" s="1414">
        <v>49213.83577510449</v>
      </c>
      <c r="Q12" s="1420"/>
      <c r="R12" s="731">
        <v>49224.411278239495</v>
      </c>
      <c r="S12" s="99"/>
      <c r="T12" s="99"/>
      <c r="U12" s="100"/>
      <c r="V12" s="100"/>
      <c r="W12" s="101"/>
      <c r="Y12" s="561"/>
      <c r="Z12" s="561"/>
      <c r="AA12" s="561"/>
      <c r="AB12" s="561"/>
    </row>
    <row r="13" spans="1:28" ht="12" customHeight="1">
      <c r="A13" s="102" t="s">
        <v>93</v>
      </c>
      <c r="B13" s="102"/>
      <c r="C13" s="971"/>
      <c r="D13" s="971"/>
      <c r="E13" s="971"/>
      <c r="F13" s="480"/>
      <c r="G13" s="481"/>
      <c r="H13" s="481"/>
      <c r="I13" s="481"/>
      <c r="J13" s="708"/>
      <c r="K13" s="735">
        <v>17945.910224438903</v>
      </c>
      <c r="L13" s="736">
        <v>16311.906669447768</v>
      </c>
      <c r="M13" s="104">
        <f t="shared" si="0"/>
        <v>34257.816893886673</v>
      </c>
      <c r="N13" s="736">
        <v>16650.310806416361</v>
      </c>
      <c r="O13" s="736">
        <v>17012.757406897617</v>
      </c>
      <c r="P13" s="1415">
        <v>17381.925556317899</v>
      </c>
      <c r="Q13" s="1420"/>
      <c r="R13" s="735">
        <v>17945.910224438903</v>
      </c>
      <c r="S13" s="104"/>
      <c r="T13" s="104"/>
      <c r="U13" s="105"/>
      <c r="V13" s="105"/>
      <c r="W13" s="106"/>
      <c r="Y13" s="561"/>
      <c r="Z13" s="561"/>
      <c r="AA13" s="561"/>
      <c r="AB13" s="561"/>
    </row>
    <row r="14" spans="1:28" ht="12" customHeight="1">
      <c r="A14" s="102" t="s">
        <v>94</v>
      </c>
      <c r="B14" s="102"/>
      <c r="C14" s="970"/>
      <c r="D14" s="970"/>
      <c r="E14" s="970"/>
      <c r="F14" s="103">
        <v>24394.017959885397</v>
      </c>
      <c r="G14" s="104">
        <v>22833.548293039199</v>
      </c>
      <c r="H14" s="104">
        <v>20930.537283768896</v>
      </c>
      <c r="I14" s="104">
        <v>23228.38327218311</v>
      </c>
      <c r="J14" s="431">
        <v>26964.441928404507</v>
      </c>
      <c r="K14" s="735">
        <v>22498.349380600303</v>
      </c>
      <c r="L14" s="736">
        <v>21401.096923826171</v>
      </c>
      <c r="M14" s="104">
        <f t="shared" si="0"/>
        <v>43899.44630442647</v>
      </c>
      <c r="N14" s="736">
        <v>21787.229180580704</v>
      </c>
      <c r="O14" s="736">
        <v>21632.725006542765</v>
      </c>
      <c r="P14" s="1415">
        <v>22316.292925463407</v>
      </c>
      <c r="Q14" s="1420"/>
      <c r="R14" s="735">
        <v>22498.349380600303</v>
      </c>
      <c r="S14" s="104"/>
      <c r="T14" s="104"/>
      <c r="U14" s="105"/>
      <c r="V14" s="105"/>
      <c r="W14" s="106"/>
      <c r="Y14" s="561"/>
      <c r="Z14" s="561"/>
      <c r="AA14" s="561"/>
      <c r="AB14" s="561"/>
    </row>
    <row r="15" spans="1:28" ht="12" customHeight="1">
      <c r="A15" s="102" t="s">
        <v>95</v>
      </c>
      <c r="B15" s="102"/>
      <c r="C15" s="970"/>
      <c r="D15" s="970"/>
      <c r="E15" s="970"/>
      <c r="F15" s="103">
        <v>1623.1676657600001</v>
      </c>
      <c r="G15" s="104">
        <v>4827</v>
      </c>
      <c r="H15" s="104">
        <v>4878.6705113449989</v>
      </c>
      <c r="I15" s="104">
        <v>5277.1120000000001</v>
      </c>
      <c r="J15" s="431">
        <v>4220.7908058110952</v>
      </c>
      <c r="K15" s="735">
        <v>4929.7854191439028</v>
      </c>
      <c r="L15" s="736">
        <v>6002.585857710259</v>
      </c>
      <c r="M15" s="104">
        <f t="shared" si="0"/>
        <v>10932.371276854163</v>
      </c>
      <c r="N15" s="736">
        <v>6789.954428672504</v>
      </c>
      <c r="O15" s="736">
        <v>7128.1743342016816</v>
      </c>
      <c r="P15" s="1415">
        <v>7273.2746479589587</v>
      </c>
      <c r="Q15" s="1420"/>
      <c r="R15" s="735">
        <v>4929.7854191439028</v>
      </c>
      <c r="S15" s="104"/>
      <c r="T15" s="104"/>
      <c r="U15" s="105"/>
      <c r="V15" s="105"/>
      <c r="W15" s="106"/>
      <c r="Y15" s="561"/>
      <c r="Z15" s="561"/>
      <c r="AA15" s="561"/>
      <c r="AB15" s="561"/>
    </row>
    <row r="16" spans="1:28" ht="12" customHeight="1">
      <c r="A16" s="102" t="s">
        <v>96</v>
      </c>
      <c r="B16" s="102"/>
      <c r="C16" s="970"/>
      <c r="D16" s="970"/>
      <c r="E16" s="970"/>
      <c r="F16" s="103">
        <v>736.00123987040001</v>
      </c>
      <c r="G16" s="104">
        <v>3796.5788278433001</v>
      </c>
      <c r="H16" s="104">
        <v>4024.3152756084141</v>
      </c>
      <c r="I16" s="104">
        <v>3315.4259999999999</v>
      </c>
      <c r="J16" s="431">
        <v>2461.0759624338975</v>
      </c>
      <c r="K16" s="735">
        <v>3001.0408013511815</v>
      </c>
      <c r="L16" s="736">
        <v>3215.1362291940395</v>
      </c>
      <c r="M16" s="104">
        <f t="shared" si="0"/>
        <v>6216.177030545221</v>
      </c>
      <c r="N16" s="736">
        <v>3807.3828176124034</v>
      </c>
      <c r="O16" s="736">
        <v>4280.6482741561167</v>
      </c>
      <c r="P16" s="1415">
        <v>4187.1717407077294</v>
      </c>
      <c r="Q16" s="1420"/>
      <c r="R16" s="735">
        <v>3001.0408013511815</v>
      </c>
      <c r="S16" s="104"/>
      <c r="T16" s="104"/>
      <c r="U16" s="105"/>
      <c r="V16" s="105"/>
      <c r="W16" s="106"/>
      <c r="Y16" s="561"/>
      <c r="Z16" s="561"/>
      <c r="AA16" s="561"/>
      <c r="AB16" s="561"/>
    </row>
    <row r="17" spans="1:28" ht="12" customHeight="1">
      <c r="A17" s="102" t="s">
        <v>97</v>
      </c>
      <c r="B17" s="102"/>
      <c r="C17" s="970"/>
      <c r="D17" s="970"/>
      <c r="E17" s="970"/>
      <c r="F17" s="103"/>
      <c r="G17" s="104"/>
      <c r="H17" s="104"/>
      <c r="I17" s="104"/>
      <c r="J17" s="431"/>
      <c r="K17" s="735">
        <v>0</v>
      </c>
      <c r="L17" s="736">
        <v>0</v>
      </c>
      <c r="M17" s="104">
        <f t="shared" si="0"/>
        <v>0</v>
      </c>
      <c r="N17" s="736">
        <v>0</v>
      </c>
      <c r="O17" s="736">
        <v>0</v>
      </c>
      <c r="P17" s="1415">
        <v>0</v>
      </c>
      <c r="Q17" s="1420"/>
      <c r="R17" s="735">
        <v>0</v>
      </c>
      <c r="S17" s="104"/>
      <c r="T17" s="104"/>
      <c r="U17" s="105"/>
      <c r="V17" s="105"/>
      <c r="W17" s="106"/>
      <c r="Y17" s="561"/>
      <c r="Z17" s="561"/>
      <c r="AA17" s="561"/>
      <c r="AB17" s="561"/>
    </row>
    <row r="18" spans="1:28" ht="12" customHeight="1">
      <c r="A18" s="108" t="s">
        <v>98</v>
      </c>
      <c r="B18" s="432"/>
      <c r="C18" s="972"/>
      <c r="D18" s="972"/>
      <c r="E18" s="972"/>
      <c r="F18" s="109">
        <f t="shared" ref="F18:R18" si="1">F12+SUM(F14:F17)</f>
        <v>98990.228745171975</v>
      </c>
      <c r="G18" s="567">
        <f t="shared" si="1"/>
        <v>96610.772000000055</v>
      </c>
      <c r="H18" s="567">
        <f t="shared" si="1"/>
        <v>88885.756847823097</v>
      </c>
      <c r="I18" s="567">
        <f t="shared" si="1"/>
        <v>92272.623088732304</v>
      </c>
      <c r="J18" s="219">
        <f t="shared" si="1"/>
        <v>96574.432957341895</v>
      </c>
      <c r="K18" s="737">
        <f t="shared" si="1"/>
        <v>79653.586879334878</v>
      </c>
      <c r="L18" s="738">
        <f t="shared" si="1"/>
        <v>76642.078095871489</v>
      </c>
      <c r="M18" s="582">
        <f t="shared" si="1"/>
        <v>156295.66497520637</v>
      </c>
      <c r="N18" s="738">
        <f t="shared" si="1"/>
        <v>79151.555239028559</v>
      </c>
      <c r="O18" s="738">
        <f t="shared" si="1"/>
        <v>80709.583329501009</v>
      </c>
      <c r="P18" s="1423">
        <f t="shared" si="1"/>
        <v>82990.575089234582</v>
      </c>
      <c r="Q18" s="1420"/>
      <c r="R18" s="737">
        <f t="shared" si="1"/>
        <v>79653.586879334878</v>
      </c>
      <c r="S18" s="567"/>
      <c r="T18" s="567"/>
      <c r="U18" s="131"/>
      <c r="V18" s="433"/>
      <c r="W18" s="434"/>
      <c r="Y18" s="561"/>
      <c r="Z18" s="561"/>
      <c r="AA18" s="561"/>
      <c r="AB18" s="561"/>
    </row>
    <row r="19" spans="1:28" ht="12" customHeight="1">
      <c r="A19" s="113" t="s">
        <v>99</v>
      </c>
      <c r="B19" s="114"/>
      <c r="C19" s="973"/>
      <c r="D19" s="973"/>
      <c r="E19" s="973"/>
      <c r="F19" s="115"/>
      <c r="G19" s="116">
        <f>G18/F18-1</f>
        <v>-2.4037289087363356E-2</v>
      </c>
      <c r="H19" s="116">
        <f t="shared" ref="H19:J19" si="2">H18/G18-1</f>
        <v>-7.9960184483123253E-2</v>
      </c>
      <c r="I19" s="116">
        <f t="shared" si="2"/>
        <v>3.8103587807748474E-2</v>
      </c>
      <c r="J19" s="117">
        <f t="shared" si="2"/>
        <v>4.662065220008782E-2</v>
      </c>
      <c r="K19" s="739">
        <f>K18/J18-1</f>
        <v>-0.17521041087014366</v>
      </c>
      <c r="L19" s="740">
        <f>L18/K18-1</f>
        <v>-3.7807572784204213E-2</v>
      </c>
      <c r="M19" s="716"/>
      <c r="N19" s="584">
        <f>N18/L18-1</f>
        <v>3.2742811853535114E-2</v>
      </c>
      <c r="O19" s="584">
        <f t="shared" ref="O19" si="3">O18/N18-1</f>
        <v>1.9684112153796507E-2</v>
      </c>
      <c r="P19" s="583">
        <f>P18/O18-1</f>
        <v>2.8261721416914076E-2</v>
      </c>
      <c r="Q19" s="97"/>
      <c r="R19" s="739">
        <f>+R18/J18-1</f>
        <v>-0.17521041087014366</v>
      </c>
      <c r="S19" s="116"/>
      <c r="T19" s="116"/>
      <c r="U19" s="116"/>
      <c r="V19" s="116"/>
      <c r="W19" s="117"/>
    </row>
    <row r="20" spans="1:28" ht="12" customHeight="1">
      <c r="A20" s="114"/>
      <c r="B20" s="114"/>
      <c r="C20" s="974"/>
      <c r="D20" s="974"/>
      <c r="E20" s="974"/>
      <c r="F20" s="114"/>
      <c r="G20" s="114"/>
      <c r="H20" s="114"/>
      <c r="I20" s="114"/>
      <c r="J20" s="114"/>
      <c r="K20" s="822"/>
      <c r="L20" s="822"/>
      <c r="M20" s="119"/>
      <c r="N20" s="585"/>
      <c r="O20" s="585"/>
      <c r="P20" s="585"/>
      <c r="Q20" s="97"/>
      <c r="R20" s="822"/>
      <c r="S20" s="114"/>
      <c r="T20" s="114"/>
      <c r="U20" s="114"/>
      <c r="V20" s="114"/>
      <c r="W20" s="114"/>
    </row>
    <row r="21" spans="1:28" ht="15.6" customHeight="1">
      <c r="A21" s="91" t="s">
        <v>100</v>
      </c>
      <c r="B21" s="91"/>
      <c r="C21" s="969"/>
      <c r="D21" s="969"/>
      <c r="E21" s="969"/>
      <c r="F21" s="91"/>
      <c r="G21" s="91"/>
      <c r="H21" s="91"/>
      <c r="I21" s="91"/>
      <c r="J21" s="91"/>
      <c r="K21" s="742"/>
      <c r="L21" s="742"/>
      <c r="M21" s="93"/>
      <c r="N21" s="586"/>
      <c r="O21" s="586"/>
      <c r="P21" s="587"/>
      <c r="Q21" s="97"/>
      <c r="R21" s="742"/>
      <c r="S21" s="93"/>
      <c r="T21" s="93"/>
      <c r="U21" s="94"/>
      <c r="V21" s="94"/>
      <c r="W21" s="94"/>
    </row>
    <row r="22" spans="1:28" ht="12" customHeight="1">
      <c r="A22" s="96" t="s">
        <v>101</v>
      </c>
      <c r="B22" s="102"/>
      <c r="C22" s="970"/>
      <c r="D22" s="970"/>
      <c r="E22" s="970"/>
      <c r="F22" s="98">
        <f>51288.5955852115</f>
        <v>51288.5955852115</v>
      </c>
      <c r="G22" s="99">
        <v>50019.740668882012</v>
      </c>
      <c r="H22" s="99">
        <v>45913.816074863877</v>
      </c>
      <c r="I22" s="99">
        <v>47652.69089989498</v>
      </c>
      <c r="J22" s="709">
        <v>49908.812984309734</v>
      </c>
      <c r="K22" s="812">
        <v>40784.404606394004</v>
      </c>
      <c r="L22" s="652">
        <v>39180.989902916364</v>
      </c>
      <c r="M22" s="564">
        <f t="shared" ref="M22:M30" si="4">K22+L22</f>
        <v>79965.394509310368</v>
      </c>
      <c r="N22" s="652">
        <v>40477.267643965766</v>
      </c>
      <c r="O22" s="652">
        <v>41273.68835329327</v>
      </c>
      <c r="P22" s="1417">
        <v>42449.180459546973</v>
      </c>
      <c r="Q22" s="1420"/>
      <c r="R22" s="812">
        <v>40784.404606394004</v>
      </c>
      <c r="S22" s="564"/>
      <c r="T22" s="564"/>
      <c r="U22" s="100"/>
      <c r="V22" s="123"/>
      <c r="W22" s="124"/>
      <c r="Y22" s="561"/>
      <c r="Z22" s="561"/>
      <c r="AA22" s="561"/>
      <c r="AB22" s="561"/>
    </row>
    <row r="23" spans="1:28" ht="12" customHeight="1">
      <c r="A23" s="120" t="s">
        <v>102</v>
      </c>
      <c r="B23" s="102"/>
      <c r="C23" s="970"/>
      <c r="D23" s="970"/>
      <c r="E23" s="970"/>
      <c r="F23" s="103">
        <v>2359.1156082786024</v>
      </c>
      <c r="G23" s="104">
        <v>2300.7522352207343</v>
      </c>
      <c r="H23" s="104">
        <v>2111.8924958256448</v>
      </c>
      <c r="I23" s="104">
        <v>2191.87532034573</v>
      </c>
      <c r="J23" s="431">
        <v>2295.6499073234945</v>
      </c>
      <c r="K23" s="747">
        <v>1875.9555488596081</v>
      </c>
      <c r="L23" s="748">
        <v>1802.2034679075573</v>
      </c>
      <c r="M23" s="563">
        <f t="shared" si="4"/>
        <v>3678.1590167671657</v>
      </c>
      <c r="N23" s="748">
        <v>1861.8282054672563</v>
      </c>
      <c r="O23" s="748">
        <v>1898.4610768627949</v>
      </c>
      <c r="P23" s="1416">
        <v>1952.5300515272327</v>
      </c>
      <c r="Q23" s="1420"/>
      <c r="R23" s="747">
        <v>1875.9555488596081</v>
      </c>
      <c r="S23" s="563"/>
      <c r="T23" s="563"/>
      <c r="U23" s="105"/>
      <c r="V23" s="127"/>
      <c r="W23" s="128"/>
      <c r="Y23" s="561"/>
      <c r="Z23" s="561"/>
      <c r="AA23" s="561"/>
      <c r="AB23" s="561"/>
    </row>
    <row r="24" spans="1:28" ht="12" customHeight="1">
      <c r="A24" s="120" t="s">
        <v>103</v>
      </c>
      <c r="B24" s="102"/>
      <c r="C24" s="970"/>
      <c r="D24" s="970"/>
      <c r="E24" s="970"/>
      <c r="F24" s="103">
        <v>26496.635440934413</v>
      </c>
      <c r="G24" s="104">
        <v>25841.121563788736</v>
      </c>
      <c r="H24" s="104">
        <v>23719.925109210155</v>
      </c>
      <c r="I24" s="104">
        <v>24618.259949354477</v>
      </c>
      <c r="J24" s="431">
        <v>25783.814273837008</v>
      </c>
      <c r="K24" s="747">
        <v>21069.976438247071</v>
      </c>
      <c r="L24" s="748">
        <v>20241.622797951037</v>
      </c>
      <c r="M24" s="563">
        <f t="shared" si="4"/>
        <v>41311.599236198104</v>
      </c>
      <c r="N24" s="748">
        <v>20911.303812665497</v>
      </c>
      <c r="O24" s="748">
        <v>21322.749455734462</v>
      </c>
      <c r="P24" s="1416">
        <v>21930.030381400542</v>
      </c>
      <c r="Q24" s="1420"/>
      <c r="R24" s="747">
        <v>21069.976438247071</v>
      </c>
      <c r="S24" s="563"/>
      <c r="T24" s="563"/>
      <c r="U24" s="105"/>
      <c r="V24" s="127"/>
      <c r="W24" s="128"/>
      <c r="Y24" s="561"/>
      <c r="Z24" s="561"/>
      <c r="AA24" s="561"/>
      <c r="AB24" s="561"/>
    </row>
    <row r="25" spans="1:28" ht="12" customHeight="1">
      <c r="A25" s="120" t="s">
        <v>104</v>
      </c>
      <c r="B25" s="102"/>
      <c r="C25" s="970"/>
      <c r="D25" s="970"/>
      <c r="E25" s="970"/>
      <c r="F25" s="103">
        <v>13505.403979668719</v>
      </c>
      <c r="G25" s="104">
        <v>13171.286852048266</v>
      </c>
      <c r="H25" s="104">
        <v>12090.107503704765</v>
      </c>
      <c r="I25" s="104">
        <v>12547.991107538368</v>
      </c>
      <c r="J25" s="431">
        <v>13142.077177351894</v>
      </c>
      <c r="K25" s="747">
        <v>10739.421775831062</v>
      </c>
      <c r="L25" s="748">
        <v>10317.207771522273</v>
      </c>
      <c r="M25" s="563">
        <f t="shared" si="4"/>
        <v>21056.629547353336</v>
      </c>
      <c r="N25" s="748">
        <v>10658.545925998322</v>
      </c>
      <c r="O25" s="748">
        <v>10868.260840094033</v>
      </c>
      <c r="P25" s="1416">
        <v>11177.793506932067</v>
      </c>
      <c r="Q25" s="1420"/>
      <c r="R25" s="747">
        <v>10739.421775831062</v>
      </c>
      <c r="S25" s="563"/>
      <c r="T25" s="563"/>
      <c r="U25" s="105"/>
      <c r="V25" s="127"/>
      <c r="W25" s="128"/>
      <c r="Y25" s="561"/>
      <c r="Z25" s="561"/>
      <c r="AA25" s="561"/>
      <c r="AB25" s="561"/>
    </row>
    <row r="26" spans="1:28" ht="12" customHeight="1">
      <c r="A26" s="120" t="s">
        <v>105</v>
      </c>
      <c r="B26" s="102"/>
      <c r="C26" s="970"/>
      <c r="D26" s="970"/>
      <c r="E26" s="970"/>
      <c r="F26" s="103">
        <v>15.525811569761364</v>
      </c>
      <c r="G26" s="104">
        <v>15.141710540760357</v>
      </c>
      <c r="H26" s="104">
        <v>13.898786829572687</v>
      </c>
      <c r="I26" s="104">
        <v>14.42516979188213</v>
      </c>
      <c r="J26" s="431">
        <v>15.108131100557559</v>
      </c>
      <c r="K26" s="747">
        <v>12.346038601344754</v>
      </c>
      <c r="L26" s="748">
        <v>11.860661408416572</v>
      </c>
      <c r="M26" s="563">
        <f t="shared" si="4"/>
        <v>24.206700009761327</v>
      </c>
      <c r="N26" s="748">
        <v>12.25306372943883</v>
      </c>
      <c r="O26" s="748">
        <v>12.494151981557785</v>
      </c>
      <c r="P26" s="1416">
        <v>12.849990715981997</v>
      </c>
      <c r="Q26" s="1420"/>
      <c r="R26" s="747">
        <v>12.346038601344754</v>
      </c>
      <c r="S26" s="563"/>
      <c r="T26" s="563"/>
      <c r="U26" s="105"/>
      <c r="V26" s="127"/>
      <c r="W26" s="128"/>
      <c r="Y26" s="561"/>
      <c r="Z26" s="561"/>
      <c r="AA26" s="561"/>
      <c r="AB26" s="561"/>
    </row>
    <row r="27" spans="1:28" ht="12" customHeight="1">
      <c r="A27" s="120" t="s">
        <v>106</v>
      </c>
      <c r="B27" s="102"/>
      <c r="C27" s="970"/>
      <c r="D27" s="970"/>
      <c r="E27" s="970"/>
      <c r="F27" s="103">
        <v>4041.7191357005704</v>
      </c>
      <c r="G27" s="104">
        <v>3941.7289695195495</v>
      </c>
      <c r="H27" s="104">
        <v>3618.1678773891249</v>
      </c>
      <c r="I27" s="104">
        <v>3755.1972418067899</v>
      </c>
      <c r="J27" s="431">
        <v>3932.9874834191974</v>
      </c>
      <c r="K27" s="747">
        <v>3213.9524714017871</v>
      </c>
      <c r="L27" s="748">
        <v>3087.5978341658661</v>
      </c>
      <c r="M27" s="563">
        <f t="shared" si="4"/>
        <v>6301.5503055676527</v>
      </c>
      <c r="N27" s="748">
        <v>3189.7490140022805</v>
      </c>
      <c r="O27" s="748">
        <v>3252.509726870881</v>
      </c>
      <c r="P27" s="1416">
        <v>3345.14257995451</v>
      </c>
      <c r="Q27" s="1420"/>
      <c r="R27" s="747">
        <v>3213.9524714017871</v>
      </c>
      <c r="S27" s="563"/>
      <c r="T27" s="563"/>
      <c r="U27" s="105"/>
      <c r="V27" s="127"/>
      <c r="W27" s="128"/>
      <c r="Y27" s="561"/>
      <c r="Z27" s="561"/>
      <c r="AA27" s="561"/>
      <c r="AB27" s="561"/>
    </row>
    <row r="28" spans="1:28" ht="12" customHeight="1">
      <c r="A28" s="120" t="s">
        <v>107</v>
      </c>
      <c r="B28" s="102"/>
      <c r="C28" s="970"/>
      <c r="D28" s="970"/>
      <c r="E28" s="970"/>
      <c r="F28" s="103">
        <f>1019.19318380849</f>
        <v>1019.1931838084899</v>
      </c>
      <c r="G28" s="104">
        <v>1069</v>
      </c>
      <c r="H28" s="104">
        <v>1149.3789999999999</v>
      </c>
      <c r="I28" s="104">
        <v>1218.242</v>
      </c>
      <c r="J28" s="431">
        <v>1205.9829999999999</v>
      </c>
      <c r="K28" s="747">
        <v>1781.6559999999999</v>
      </c>
      <c r="L28" s="748">
        <v>1820.8524319999999</v>
      </c>
      <c r="M28" s="563">
        <f t="shared" si="4"/>
        <v>3602.5084319999996</v>
      </c>
      <c r="N28" s="748">
        <v>1857.26948064</v>
      </c>
      <c r="O28" s="748">
        <v>1894.4148702528</v>
      </c>
      <c r="P28" s="1416">
        <v>1932.303167657856</v>
      </c>
      <c r="Q28" s="1420"/>
      <c r="R28" s="747">
        <v>1781.6559999999999</v>
      </c>
      <c r="S28" s="563"/>
      <c r="T28" s="563"/>
      <c r="U28" s="105"/>
      <c r="V28" s="127"/>
      <c r="W28" s="128"/>
      <c r="Y28" s="561"/>
      <c r="Z28" s="561"/>
      <c r="AA28" s="561"/>
      <c r="AB28" s="561"/>
    </row>
    <row r="29" spans="1:28" ht="12" customHeight="1">
      <c r="A29" s="120" t="s">
        <v>108</v>
      </c>
      <c r="B29" s="102"/>
      <c r="C29" s="970"/>
      <c r="D29" s="970"/>
      <c r="E29" s="970"/>
      <c r="F29" s="103">
        <f>264.04</f>
        <v>264.04000000000002</v>
      </c>
      <c r="G29" s="104">
        <v>252</v>
      </c>
      <c r="H29" s="104">
        <v>268.57</v>
      </c>
      <c r="I29" s="104">
        <v>273.94139999999999</v>
      </c>
      <c r="J29" s="431">
        <v>290</v>
      </c>
      <c r="K29" s="747">
        <v>175.874</v>
      </c>
      <c r="L29" s="748">
        <v>179.74322799999999</v>
      </c>
      <c r="M29" s="563">
        <f t="shared" si="4"/>
        <v>355.61722799999995</v>
      </c>
      <c r="N29" s="748">
        <v>183.33809255999998</v>
      </c>
      <c r="O29" s="748">
        <v>187.00485441119997</v>
      </c>
      <c r="P29" s="1416">
        <v>190.74495149942396</v>
      </c>
      <c r="Q29" s="1420"/>
      <c r="R29" s="747">
        <v>175.874</v>
      </c>
      <c r="S29" s="563"/>
      <c r="T29" s="563"/>
      <c r="U29" s="105"/>
      <c r="V29" s="127"/>
      <c r="W29" s="128"/>
      <c r="Y29" s="561"/>
      <c r="Z29" s="561"/>
      <c r="AA29" s="561"/>
      <c r="AB29" s="561"/>
    </row>
    <row r="30" spans="1:28" ht="12" customHeight="1">
      <c r="A30" s="120" t="s">
        <v>109</v>
      </c>
      <c r="B30" s="102"/>
      <c r="C30" s="970"/>
      <c r="D30" s="970"/>
      <c r="E30" s="970"/>
      <c r="F30" s="103"/>
      <c r="G30" s="104"/>
      <c r="H30" s="104"/>
      <c r="I30" s="104"/>
      <c r="J30" s="431"/>
      <c r="K30" s="747">
        <v>0</v>
      </c>
      <c r="L30" s="748">
        <v>0</v>
      </c>
      <c r="M30" s="563">
        <f t="shared" si="4"/>
        <v>0</v>
      </c>
      <c r="N30" s="748">
        <v>0</v>
      </c>
      <c r="O30" s="748">
        <v>0</v>
      </c>
      <c r="P30" s="1416">
        <v>0</v>
      </c>
      <c r="Q30" s="1420"/>
      <c r="R30" s="747">
        <v>0</v>
      </c>
      <c r="S30" s="563"/>
      <c r="T30" s="563"/>
      <c r="U30" s="105"/>
      <c r="V30" s="127"/>
      <c r="W30" s="128"/>
      <c r="Y30" s="561"/>
      <c r="Z30" s="561"/>
      <c r="AA30" s="561"/>
      <c r="AB30" s="561"/>
    </row>
    <row r="31" spans="1:28" s="112" customFormat="1" ht="12" customHeight="1">
      <c r="A31" s="130" t="s">
        <v>110</v>
      </c>
      <c r="B31" s="108"/>
      <c r="C31" s="989"/>
      <c r="D31" s="989"/>
      <c r="E31" s="989"/>
      <c r="F31" s="435">
        <f t="shared" ref="F31:R31" si="5">SUM(F22:F30)</f>
        <v>98990.228745172048</v>
      </c>
      <c r="G31" s="436">
        <f t="shared" si="5"/>
        <v>96610.77200000007</v>
      </c>
      <c r="H31" s="436">
        <f>SUM(H22:H30)</f>
        <v>88885.756847823141</v>
      </c>
      <c r="I31" s="436">
        <f t="shared" si="5"/>
        <v>92272.623088732216</v>
      </c>
      <c r="J31" s="1030">
        <f t="shared" si="5"/>
        <v>96574.43295734188</v>
      </c>
      <c r="K31" s="737">
        <f t="shared" si="5"/>
        <v>79653.586879334878</v>
      </c>
      <c r="L31" s="738">
        <f t="shared" si="5"/>
        <v>76642.078095871519</v>
      </c>
      <c r="M31" s="582">
        <f t="shared" si="5"/>
        <v>156295.66497520637</v>
      </c>
      <c r="N31" s="738">
        <f t="shared" si="5"/>
        <v>79151.555239028574</v>
      </c>
      <c r="O31" s="738">
        <f t="shared" si="5"/>
        <v>80709.583329501009</v>
      </c>
      <c r="P31" s="1423">
        <f t="shared" si="5"/>
        <v>82990.575089234582</v>
      </c>
      <c r="Q31" s="1420"/>
      <c r="R31" s="737">
        <f t="shared" si="5"/>
        <v>79653.586879334878</v>
      </c>
      <c r="S31" s="567"/>
      <c r="T31" s="567"/>
      <c r="U31" s="131"/>
      <c r="V31" s="111"/>
      <c r="W31" s="132"/>
      <c r="Y31" s="561"/>
      <c r="Z31" s="561"/>
      <c r="AA31" s="561"/>
      <c r="AB31" s="561"/>
    </row>
    <row r="32" spans="1:28" ht="12" customHeight="1">
      <c r="A32" s="113" t="s">
        <v>99</v>
      </c>
      <c r="B32" s="529"/>
      <c r="C32" s="973"/>
      <c r="D32" s="973"/>
      <c r="E32" s="973"/>
      <c r="F32" s="115"/>
      <c r="G32" s="116">
        <f t="shared" ref="G32:J32" si="6">+G31/F31-1</f>
        <v>-2.4037289087363911E-2</v>
      </c>
      <c r="H32" s="116">
        <f t="shared" si="6"/>
        <v>-7.996018448312292E-2</v>
      </c>
      <c r="I32" s="116">
        <f t="shared" si="6"/>
        <v>3.8103587807746919E-2</v>
      </c>
      <c r="J32" s="117">
        <f t="shared" si="6"/>
        <v>4.6620652200088708E-2</v>
      </c>
      <c r="K32" s="739">
        <f t="shared" ref="K32" si="7">K31/J31-1</f>
        <v>-0.17521041087014355</v>
      </c>
      <c r="L32" s="740">
        <f>L31/K31-1</f>
        <v>-3.780757278420388E-2</v>
      </c>
      <c r="M32" s="716"/>
      <c r="N32" s="584">
        <f>N31/L31-1</f>
        <v>3.2742811853534892E-2</v>
      </c>
      <c r="O32" s="584">
        <f t="shared" ref="O32:P32" si="8">O31/N31-1</f>
        <v>1.9684112153796285E-2</v>
      </c>
      <c r="P32" s="583">
        <f t="shared" si="8"/>
        <v>2.8261721416914076E-2</v>
      </c>
      <c r="Q32" s="97"/>
      <c r="R32" s="739">
        <f>+R31/J31-1</f>
        <v>-0.17521041087014355</v>
      </c>
      <c r="S32" s="116"/>
      <c r="T32" s="116"/>
      <c r="U32" s="116"/>
      <c r="V32" s="204"/>
      <c r="W32" s="205"/>
    </row>
    <row r="33" spans="1:28" ht="12" customHeight="1">
      <c r="A33" s="114"/>
      <c r="B33" s="133"/>
      <c r="C33" s="973"/>
      <c r="D33" s="973"/>
      <c r="E33" s="973"/>
      <c r="F33" s="133"/>
      <c r="G33" s="133"/>
      <c r="H33" s="133"/>
      <c r="I33" s="133"/>
      <c r="J33" s="133"/>
      <c r="K33" s="749"/>
      <c r="L33" s="749"/>
      <c r="M33" s="133"/>
      <c r="N33" s="592"/>
      <c r="O33" s="592"/>
      <c r="P33" s="592"/>
      <c r="Q33" s="97"/>
      <c r="R33" s="749"/>
      <c r="S33" s="133"/>
      <c r="T33" s="133"/>
      <c r="U33" s="119"/>
      <c r="V33" s="119"/>
      <c r="W33" s="119"/>
    </row>
    <row r="34" spans="1:28" ht="15.6" customHeight="1">
      <c r="A34" s="91" t="s">
        <v>111</v>
      </c>
      <c r="B34" s="91"/>
      <c r="C34" s="969"/>
      <c r="D34" s="969"/>
      <c r="E34" s="969"/>
      <c r="F34" s="91"/>
      <c r="G34" s="91"/>
      <c r="H34" s="91"/>
      <c r="I34" s="91"/>
      <c r="J34" s="91"/>
      <c r="K34" s="742"/>
      <c r="L34" s="742"/>
      <c r="M34" s="93"/>
      <c r="N34" s="586"/>
      <c r="O34" s="586"/>
      <c r="P34" s="587"/>
      <c r="Q34" s="97"/>
      <c r="R34" s="742"/>
      <c r="S34" s="93"/>
      <c r="T34" s="93"/>
      <c r="U34" s="93"/>
      <c r="V34" s="93"/>
      <c r="W34" s="93"/>
    </row>
    <row r="35" spans="1:28" ht="12" customHeight="1">
      <c r="A35" s="91" t="s">
        <v>112</v>
      </c>
      <c r="B35" s="91"/>
      <c r="C35" s="969"/>
      <c r="D35" s="969"/>
      <c r="E35" s="969"/>
      <c r="F35" s="91"/>
      <c r="G35" s="91"/>
      <c r="H35" s="91"/>
      <c r="I35" s="91"/>
      <c r="J35" s="91"/>
      <c r="K35" s="742"/>
      <c r="L35" s="742"/>
      <c r="M35" s="93"/>
      <c r="N35" s="586"/>
      <c r="O35" s="586"/>
      <c r="P35" s="586"/>
      <c r="Q35" s="97"/>
      <c r="R35" s="742"/>
      <c r="S35" s="93"/>
      <c r="T35" s="93"/>
      <c r="U35" s="93"/>
      <c r="V35" s="93"/>
      <c r="W35" s="93"/>
    </row>
    <row r="36" spans="1:28" s="83" customFormat="1" ht="12" customHeight="1">
      <c r="A36" s="134" t="s">
        <v>113</v>
      </c>
      <c r="B36" s="959"/>
      <c r="C36" s="971"/>
      <c r="D36" s="971"/>
      <c r="E36" s="971"/>
      <c r="F36" s="121">
        <v>8657.5</v>
      </c>
      <c r="G36" s="564">
        <v>49955</v>
      </c>
      <c r="H36" s="564">
        <v>52942.105263157893</v>
      </c>
      <c r="I36" s="564">
        <v>43624.026315789481</v>
      </c>
      <c r="J36" s="707">
        <v>32382.5784530776</v>
      </c>
      <c r="K36" s="731">
        <f>K16/0.0585</f>
        <v>51299.84275813985</v>
      </c>
      <c r="L36" s="732">
        <f>L16/0.0585</f>
        <v>54959.593661436571</v>
      </c>
      <c r="M36" s="504"/>
      <c r="N36" s="652">
        <f>N16/0.0585</f>
        <v>65083.466967733388</v>
      </c>
      <c r="O36" s="652">
        <f>O16/0.0585</f>
        <v>73173.474771899433</v>
      </c>
      <c r="P36" s="1417">
        <f>P16/0.0585</f>
        <v>71575.585311243238</v>
      </c>
      <c r="Q36" s="97"/>
      <c r="R36" s="812">
        <f>R16/0.0585</f>
        <v>51299.84275813985</v>
      </c>
      <c r="S36" s="564"/>
      <c r="T36" s="564"/>
      <c r="U36" s="564"/>
      <c r="V36" s="135"/>
      <c r="W36" s="136"/>
      <c r="X36" s="74"/>
      <c r="Y36" s="561"/>
      <c r="Z36" s="561"/>
      <c r="AA36" s="561"/>
      <c r="AB36" s="561"/>
    </row>
    <row r="37" spans="1:28" s="83" customFormat="1" ht="12" customHeight="1">
      <c r="A37" s="137" t="s">
        <v>114</v>
      </c>
      <c r="B37" s="959"/>
      <c r="C37" s="971"/>
      <c r="D37" s="971"/>
      <c r="E37" s="971"/>
      <c r="F37" s="125"/>
      <c r="G37" s="563"/>
      <c r="H37" s="563"/>
      <c r="I37" s="563"/>
      <c r="J37" s="706"/>
      <c r="K37" s="747">
        <v>0</v>
      </c>
      <c r="L37" s="748">
        <v>0</v>
      </c>
      <c r="M37" s="720"/>
      <c r="N37" s="632">
        <v>0</v>
      </c>
      <c r="O37" s="632">
        <v>0</v>
      </c>
      <c r="P37" s="633">
        <v>0</v>
      </c>
      <c r="Q37" s="97"/>
      <c r="R37" s="747">
        <v>0</v>
      </c>
      <c r="S37" s="563"/>
      <c r="T37" s="563"/>
      <c r="U37" s="563"/>
      <c r="V37" s="127"/>
      <c r="W37" s="128"/>
      <c r="X37" s="74"/>
      <c r="Y37" s="561"/>
      <c r="Z37" s="561"/>
      <c r="AA37" s="561"/>
      <c r="AB37" s="561"/>
    </row>
    <row r="38" spans="1:28" s="83" customFormat="1" ht="12" customHeight="1">
      <c r="A38" s="137" t="s">
        <v>115</v>
      </c>
      <c r="B38" s="959"/>
      <c r="C38" s="971"/>
      <c r="D38" s="971"/>
      <c r="E38" s="971"/>
      <c r="F38" s="125"/>
      <c r="G38" s="563"/>
      <c r="H38" s="563"/>
      <c r="I38" s="563"/>
      <c r="J38" s="706"/>
      <c r="K38" s="747">
        <v>0</v>
      </c>
      <c r="L38" s="748">
        <v>0</v>
      </c>
      <c r="M38" s="720"/>
      <c r="N38" s="632">
        <v>0</v>
      </c>
      <c r="O38" s="632">
        <v>0</v>
      </c>
      <c r="P38" s="633">
        <v>0</v>
      </c>
      <c r="Q38" s="97"/>
      <c r="R38" s="747">
        <v>0</v>
      </c>
      <c r="S38" s="563"/>
      <c r="T38" s="563"/>
      <c r="U38" s="127"/>
      <c r="V38" s="127"/>
      <c r="W38" s="128"/>
      <c r="X38" s="74"/>
      <c r="Y38" s="561"/>
      <c r="Z38" s="561"/>
      <c r="AA38" s="561"/>
      <c r="AB38" s="561"/>
    </row>
    <row r="39" spans="1:28" s="83" customFormat="1" ht="12" customHeight="1">
      <c r="A39" s="138" t="s">
        <v>116</v>
      </c>
      <c r="B39" s="959"/>
      <c r="C39" s="971"/>
      <c r="D39" s="971"/>
      <c r="E39" s="971"/>
      <c r="F39" s="175">
        <f>SUM(F36:F38)</f>
        <v>8657.5</v>
      </c>
      <c r="G39" s="176">
        <f>SUM(G36:G38)</f>
        <v>49955</v>
      </c>
      <c r="H39" s="176">
        <f>SUM(H36:H38)</f>
        <v>52942.105263157893</v>
      </c>
      <c r="I39" s="176">
        <f>SUM(I36:I38)</f>
        <v>43624.026315789481</v>
      </c>
      <c r="J39" s="220">
        <f>SUM(J36:J38)</f>
        <v>32382.5784530776</v>
      </c>
      <c r="K39" s="754">
        <f t="shared" ref="K39:L39" si="9">SUM(K36:K38)</f>
        <v>51299.84275813985</v>
      </c>
      <c r="L39" s="755">
        <f t="shared" si="9"/>
        <v>54959.593661436571</v>
      </c>
      <c r="M39" s="721"/>
      <c r="N39" s="607">
        <f t="shared" ref="N39:P39" si="10">SUM(N36:N38)</f>
        <v>65083.466967733388</v>
      </c>
      <c r="O39" s="607">
        <f t="shared" si="10"/>
        <v>73173.474771899433</v>
      </c>
      <c r="P39" s="608">
        <f t="shared" si="10"/>
        <v>71575.585311243238</v>
      </c>
      <c r="Q39" s="97"/>
      <c r="R39" s="754">
        <f>SUM(R36:R38)</f>
        <v>51299.84275813985</v>
      </c>
      <c r="S39" s="139"/>
      <c r="T39" s="139"/>
      <c r="U39" s="140"/>
      <c r="V39" s="140"/>
      <c r="W39" s="141"/>
      <c r="X39" s="74"/>
      <c r="Y39" s="561"/>
      <c r="Z39" s="561"/>
      <c r="AA39" s="561"/>
      <c r="AB39" s="561"/>
    </row>
    <row r="40" spans="1:28" ht="12" customHeight="1">
      <c r="A40" s="91" t="s">
        <v>117</v>
      </c>
      <c r="B40" s="91"/>
      <c r="C40" s="969"/>
      <c r="D40" s="969"/>
      <c r="E40" s="969"/>
      <c r="F40" s="91"/>
      <c r="G40" s="91"/>
      <c r="H40" s="91"/>
      <c r="I40" s="91"/>
      <c r="J40" s="91"/>
      <c r="K40" s="756"/>
      <c r="L40" s="756"/>
      <c r="M40" s="142"/>
      <c r="N40" s="595"/>
      <c r="O40" s="595"/>
      <c r="P40" s="595"/>
      <c r="Q40" s="97"/>
      <c r="R40" s="756"/>
      <c r="S40" s="142"/>
      <c r="T40" s="142"/>
      <c r="U40" s="143"/>
      <c r="V40" s="143"/>
      <c r="W40" s="143"/>
      <c r="Y40" s="561"/>
      <c r="Z40" s="561"/>
      <c r="AA40" s="561"/>
      <c r="AB40" s="561"/>
    </row>
    <row r="41" spans="1:28" s="83" customFormat="1" ht="12" customHeight="1">
      <c r="A41" s="144" t="s">
        <v>118</v>
      </c>
      <c r="B41" s="959"/>
      <c r="C41" s="975"/>
      <c r="D41" s="975"/>
      <c r="E41" s="975"/>
      <c r="F41" s="1092">
        <f>IF(F39&gt;0,F16/F39,"")</f>
        <v>8.5013137726872662E-2</v>
      </c>
      <c r="G41" s="1093">
        <f t="shared" ref="G41:I41" si="11">IF(G39&gt;0,G16/G39,"")</f>
        <v>7.5999976535748179E-2</v>
      </c>
      <c r="H41" s="1093">
        <f t="shared" si="11"/>
        <v>7.6013510524465519E-2</v>
      </c>
      <c r="I41" s="1093">
        <f t="shared" si="11"/>
        <v>7.5999999999999984E-2</v>
      </c>
      <c r="J41" s="1094">
        <f>IF(J39&gt;0,J16/J39,"")</f>
        <v>7.5999999999999998E-2</v>
      </c>
      <c r="K41" s="757">
        <v>5.8500000000000003E-2</v>
      </c>
      <c r="L41" s="758">
        <v>5.8500000000000003E-2</v>
      </c>
      <c r="M41" s="719"/>
      <c r="N41" s="645">
        <v>5.8500000000000003E-2</v>
      </c>
      <c r="O41" s="645">
        <v>5.8500000000000003E-2</v>
      </c>
      <c r="P41" s="646">
        <v>5.8500000000000003E-2</v>
      </c>
      <c r="Q41" s="97"/>
      <c r="R41" s="757">
        <v>5.8500000000000003E-2</v>
      </c>
      <c r="S41" s="1093"/>
      <c r="T41" s="1093"/>
      <c r="U41" s="1095"/>
      <c r="V41" s="1095"/>
      <c r="W41" s="1096"/>
      <c r="X41" s="74"/>
    </row>
    <row r="42" spans="1:28" s="83" customFormat="1" ht="12" customHeight="1">
      <c r="A42" s="148" t="s">
        <v>119</v>
      </c>
      <c r="B42" s="959"/>
      <c r="C42" s="975"/>
      <c r="D42" s="975"/>
      <c r="E42" s="975"/>
      <c r="F42" s="1033"/>
      <c r="G42" s="440"/>
      <c r="H42" s="440"/>
      <c r="I42" s="440"/>
      <c r="J42" s="1034"/>
      <c r="K42" s="824"/>
      <c r="L42" s="825"/>
      <c r="M42" s="720"/>
      <c r="N42" s="596"/>
      <c r="O42" s="596"/>
      <c r="P42" s="597"/>
      <c r="Q42" s="97"/>
      <c r="R42" s="824"/>
      <c r="S42" s="440"/>
      <c r="T42" s="440"/>
      <c r="U42" s="441"/>
      <c r="V42" s="441"/>
      <c r="W42" s="442"/>
      <c r="X42" s="74"/>
    </row>
    <row r="43" spans="1:28" s="83" customFormat="1" ht="12" customHeight="1">
      <c r="A43" s="148" t="s">
        <v>120</v>
      </c>
      <c r="B43" s="959"/>
      <c r="C43" s="975"/>
      <c r="D43" s="975"/>
      <c r="E43" s="975"/>
      <c r="F43" s="1033"/>
      <c r="G43" s="440"/>
      <c r="H43" s="440"/>
      <c r="I43" s="440"/>
      <c r="J43" s="1034"/>
      <c r="K43" s="824"/>
      <c r="L43" s="825"/>
      <c r="M43" s="720"/>
      <c r="N43" s="596"/>
      <c r="O43" s="596"/>
      <c r="P43" s="597"/>
      <c r="Q43" s="97"/>
      <c r="R43" s="824"/>
      <c r="S43" s="440"/>
      <c r="T43" s="440"/>
      <c r="U43" s="441"/>
      <c r="V43" s="441"/>
      <c r="W43" s="442"/>
      <c r="X43" s="74"/>
    </row>
    <row r="44" spans="1:28" s="83" customFormat="1" ht="12" customHeight="1">
      <c r="A44" s="153" t="s">
        <v>121</v>
      </c>
      <c r="B44" s="959"/>
      <c r="C44" s="975"/>
      <c r="D44" s="975"/>
      <c r="E44" s="975"/>
      <c r="F44" s="444"/>
      <c r="G44" s="445"/>
      <c r="H44" s="445"/>
      <c r="I44" s="445"/>
      <c r="J44" s="1022"/>
      <c r="K44" s="826"/>
      <c r="L44" s="827"/>
      <c r="M44" s="721"/>
      <c r="N44" s="598"/>
      <c r="O44" s="598"/>
      <c r="P44" s="599"/>
      <c r="Q44" s="97"/>
      <c r="R44" s="826"/>
      <c r="S44" s="445"/>
      <c r="T44" s="445"/>
      <c r="U44" s="446"/>
      <c r="V44" s="447"/>
      <c r="W44" s="448"/>
      <c r="X44" s="74"/>
    </row>
    <row r="45" spans="1:28" s="83" customFormat="1" ht="5.65" customHeight="1">
      <c r="A45" s="93"/>
      <c r="B45" s="79"/>
      <c r="C45" s="963"/>
      <c r="D45" s="963"/>
      <c r="E45" s="963"/>
      <c r="F45" s="79"/>
      <c r="G45" s="79"/>
      <c r="H45" s="79"/>
      <c r="I45" s="79"/>
      <c r="J45" s="79"/>
      <c r="K45" s="763"/>
      <c r="L45" s="763"/>
      <c r="M45" s="159"/>
      <c r="N45" s="601"/>
      <c r="O45" s="601"/>
      <c r="P45" s="601"/>
      <c r="Q45" s="97"/>
      <c r="R45" s="763"/>
      <c r="S45" s="159"/>
      <c r="T45" s="159"/>
      <c r="U45" s="160"/>
      <c r="V45" s="161"/>
      <c r="W45" s="161"/>
      <c r="X45" s="74"/>
    </row>
    <row r="46" spans="1:28" s="451" customFormat="1" ht="12" customHeight="1">
      <c r="A46" s="162" t="s">
        <v>122</v>
      </c>
      <c r="B46" s="79"/>
      <c r="C46" s="963"/>
      <c r="D46" s="963"/>
      <c r="E46" s="963"/>
      <c r="F46" s="79"/>
      <c r="G46" s="79"/>
      <c r="H46" s="79"/>
      <c r="I46" s="79"/>
      <c r="J46" s="79"/>
      <c r="K46" s="764"/>
      <c r="L46" s="764"/>
      <c r="M46" s="118"/>
      <c r="N46" s="602"/>
      <c r="O46" s="602"/>
      <c r="P46" s="602"/>
      <c r="Q46" s="97"/>
      <c r="R46" s="764"/>
      <c r="S46" s="118"/>
      <c r="T46" s="118"/>
      <c r="U46" s="449"/>
      <c r="V46" s="449"/>
      <c r="W46" s="449"/>
      <c r="X46" s="450"/>
    </row>
    <row r="47" spans="1:28" s="450" customFormat="1" ht="12" customHeight="1">
      <c r="A47" s="163" t="s">
        <v>123</v>
      </c>
      <c r="B47" s="960"/>
      <c r="C47" s="977"/>
      <c r="D47" s="977"/>
      <c r="E47" s="977"/>
      <c r="F47" s="1166"/>
      <c r="G47" s="935"/>
      <c r="H47" s="935"/>
      <c r="I47" s="935"/>
      <c r="J47" s="936"/>
      <c r="K47" s="933">
        <v>0</v>
      </c>
      <c r="L47" s="934">
        <v>0</v>
      </c>
      <c r="M47" s="165">
        <f>K47+L47</f>
        <v>0</v>
      </c>
      <c r="N47" s="935">
        <v>0</v>
      </c>
      <c r="O47" s="935">
        <v>0</v>
      </c>
      <c r="P47" s="936">
        <v>0</v>
      </c>
      <c r="Q47" s="97"/>
      <c r="R47" s="933">
        <v>0</v>
      </c>
      <c r="S47" s="165"/>
      <c r="T47" s="165"/>
      <c r="U47" s="165"/>
      <c r="V47" s="452"/>
      <c r="W47" s="453"/>
      <c r="Y47" s="561"/>
      <c r="Z47" s="561"/>
      <c r="AA47" s="561"/>
      <c r="AB47" s="561"/>
    </row>
    <row r="48" spans="1:28" s="83" customFormat="1" ht="5.65" customHeight="1">
      <c r="A48" s="93"/>
      <c r="B48" s="79"/>
      <c r="C48" s="971"/>
      <c r="D48" s="971"/>
      <c r="E48" s="971"/>
      <c r="F48" s="107"/>
      <c r="G48" s="107"/>
      <c r="H48" s="107"/>
      <c r="I48" s="107"/>
      <c r="J48" s="107"/>
      <c r="K48" s="830"/>
      <c r="L48" s="830"/>
      <c r="M48" s="159"/>
      <c r="N48" s="603"/>
      <c r="O48" s="603"/>
      <c r="P48" s="603"/>
      <c r="Q48" s="97"/>
      <c r="R48" s="830"/>
      <c r="S48" s="454"/>
      <c r="T48" s="454"/>
      <c r="U48" s="455"/>
      <c r="V48" s="456"/>
      <c r="W48" s="456"/>
      <c r="X48" s="74"/>
    </row>
    <row r="49" spans="1:28" s="459" customFormat="1" ht="12" customHeight="1">
      <c r="A49" s="166" t="s">
        <v>124</v>
      </c>
      <c r="B49" s="75"/>
      <c r="C49" s="971"/>
      <c r="D49" s="971"/>
      <c r="E49" s="971"/>
      <c r="F49" s="457"/>
      <c r="G49" s="457"/>
      <c r="H49" s="457"/>
      <c r="I49" s="457"/>
      <c r="J49" s="457"/>
      <c r="K49" s="831"/>
      <c r="L49" s="831"/>
      <c r="M49" s="167"/>
      <c r="N49" s="604"/>
      <c r="O49" s="604"/>
      <c r="P49" s="604"/>
      <c r="Q49" s="97"/>
      <c r="R49" s="831"/>
      <c r="S49" s="457"/>
      <c r="T49" s="457"/>
      <c r="U49" s="458"/>
      <c r="V49" s="458"/>
      <c r="W49" s="458"/>
    </row>
    <row r="50" spans="1:28" s="83" customFormat="1" ht="12" customHeight="1">
      <c r="A50" s="134" t="s">
        <v>125</v>
      </c>
      <c r="B50" s="959"/>
      <c r="C50" s="971"/>
      <c r="D50" s="971"/>
      <c r="E50" s="971"/>
      <c r="F50" s="523"/>
      <c r="G50" s="504"/>
      <c r="H50" s="504"/>
      <c r="I50" s="504"/>
      <c r="J50" s="956"/>
      <c r="K50" s="1156">
        <f>+K15</f>
        <v>4929.7854191439028</v>
      </c>
      <c r="L50" s="652">
        <f>+L15</f>
        <v>6002.585857710259</v>
      </c>
      <c r="M50" s="564">
        <f>K50+L50</f>
        <v>10932.371276854163</v>
      </c>
      <c r="N50" s="636">
        <f>+N15</f>
        <v>6789.954428672504</v>
      </c>
      <c r="O50" s="636">
        <f t="shared" ref="O50:P50" si="12">+O15</f>
        <v>7128.1743342016816</v>
      </c>
      <c r="P50" s="637">
        <f t="shared" si="12"/>
        <v>7273.2746479589587</v>
      </c>
      <c r="Q50" s="1156"/>
      <c r="R50" s="812">
        <f t="shared" ref="R50" si="13">+R15</f>
        <v>4929.7854191439028</v>
      </c>
      <c r="S50" s="564"/>
      <c r="T50" s="564"/>
      <c r="U50" s="564"/>
      <c r="V50" s="564"/>
      <c r="W50" s="460"/>
      <c r="X50" s="74"/>
      <c r="Y50" s="561"/>
      <c r="Z50" s="561"/>
      <c r="AA50" s="561"/>
      <c r="AB50" s="561"/>
    </row>
    <row r="51" spans="1:28" s="83" customFormat="1" ht="12" customHeight="1">
      <c r="A51" s="137" t="s">
        <v>126</v>
      </c>
      <c r="B51" s="959"/>
      <c r="C51" s="971"/>
      <c r="D51" s="971"/>
      <c r="E51" s="971"/>
      <c r="F51" s="480"/>
      <c r="G51" s="481"/>
      <c r="H51" s="481"/>
      <c r="I51" s="481"/>
      <c r="J51" s="708"/>
      <c r="K51" s="1157">
        <f>+K36*K41</f>
        <v>3001.0408013511815</v>
      </c>
      <c r="L51" s="748">
        <f>+L36*L41</f>
        <v>3215.1362291940395</v>
      </c>
      <c r="M51" s="563">
        <f>K51+L51</f>
        <v>6216.177030545221</v>
      </c>
      <c r="N51" s="632">
        <f>+N36*N41</f>
        <v>3807.3828176124034</v>
      </c>
      <c r="O51" s="632">
        <f t="shared" ref="O51:P51" si="14">+O36*O41</f>
        <v>4280.6482741561167</v>
      </c>
      <c r="P51" s="633">
        <f t="shared" si="14"/>
        <v>4187.1717407077294</v>
      </c>
      <c r="Q51" s="1157"/>
      <c r="R51" s="747">
        <f t="shared" ref="R51" si="15">+R36*R41</f>
        <v>3001.0408013511815</v>
      </c>
      <c r="S51" s="563"/>
      <c r="T51" s="563"/>
      <c r="U51" s="563"/>
      <c r="V51" s="563"/>
      <c r="W51" s="461"/>
      <c r="X51" s="74"/>
      <c r="Y51" s="561"/>
      <c r="Z51" s="561"/>
      <c r="AA51" s="561"/>
      <c r="AB51" s="561"/>
    </row>
    <row r="52" spans="1:28" s="83" customFormat="1" ht="12" customHeight="1">
      <c r="A52" s="153" t="s">
        <v>127</v>
      </c>
      <c r="B52" s="959"/>
      <c r="C52" s="971"/>
      <c r="D52" s="971"/>
      <c r="E52" s="971"/>
      <c r="F52" s="1007"/>
      <c r="G52" s="1008"/>
      <c r="H52" s="1008"/>
      <c r="I52" s="1008"/>
      <c r="J52" s="1023"/>
      <c r="K52" s="1158">
        <v>0</v>
      </c>
      <c r="L52" s="817">
        <v>0</v>
      </c>
      <c r="M52" s="139">
        <f>K52+L52</f>
        <v>0</v>
      </c>
      <c r="N52" s="642">
        <v>0</v>
      </c>
      <c r="O52" s="642">
        <v>0</v>
      </c>
      <c r="P52" s="643">
        <v>0</v>
      </c>
      <c r="Q52" s="1158"/>
      <c r="R52" s="816">
        <v>0</v>
      </c>
      <c r="S52" s="139"/>
      <c r="T52" s="139"/>
      <c r="U52" s="139"/>
      <c r="V52" s="139"/>
      <c r="W52" s="168"/>
      <c r="X52" s="74"/>
      <c r="Y52" s="561"/>
      <c r="Z52" s="561"/>
      <c r="AA52" s="561"/>
      <c r="AB52" s="561"/>
    </row>
    <row r="53" spans="1:28" s="83" customFormat="1" ht="5.65" customHeight="1">
      <c r="A53" s="93"/>
      <c r="B53" s="79"/>
      <c r="C53" s="963"/>
      <c r="D53" s="963"/>
      <c r="E53" s="963"/>
      <c r="F53" s="79"/>
      <c r="G53" s="79"/>
      <c r="H53" s="79"/>
      <c r="I53" s="79"/>
      <c r="J53" s="79"/>
      <c r="K53" s="763"/>
      <c r="L53" s="763"/>
      <c r="M53" s="159"/>
      <c r="N53" s="601"/>
      <c r="O53" s="601"/>
      <c r="P53" s="601"/>
      <c r="Q53" s="97"/>
      <c r="R53" s="763"/>
      <c r="S53" s="159"/>
      <c r="T53" s="159"/>
      <c r="U53" s="160"/>
      <c r="V53" s="161"/>
      <c r="W53" s="161"/>
      <c r="X53" s="74"/>
    </row>
    <row r="54" spans="1:28" s="459" customFormat="1" ht="12" customHeight="1">
      <c r="A54" s="166" t="s">
        <v>128</v>
      </c>
      <c r="B54" s="75"/>
      <c r="C54" s="963"/>
      <c r="D54" s="963"/>
      <c r="E54" s="963"/>
      <c r="F54" s="75"/>
      <c r="G54" s="75"/>
      <c r="H54" s="75"/>
      <c r="I54" s="75"/>
      <c r="J54" s="75"/>
      <c r="K54" s="765"/>
      <c r="L54" s="765"/>
      <c r="M54" s="167"/>
      <c r="N54" s="605"/>
      <c r="O54" s="605"/>
      <c r="P54" s="605"/>
      <c r="Q54" s="97"/>
      <c r="R54" s="765"/>
      <c r="S54" s="167"/>
      <c r="T54" s="167"/>
      <c r="U54" s="462"/>
      <c r="V54" s="462"/>
      <c r="W54" s="462"/>
    </row>
    <row r="55" spans="1:28" s="463" customFormat="1" ht="12" customHeight="1">
      <c r="A55" s="169" t="s">
        <v>129</v>
      </c>
      <c r="B55" s="960"/>
      <c r="C55" s="976"/>
      <c r="D55" s="976"/>
      <c r="E55" s="976"/>
      <c r="F55" s="1001"/>
      <c r="G55" s="509"/>
      <c r="H55" s="509"/>
      <c r="I55" s="509"/>
      <c r="J55" s="1029"/>
      <c r="K55" s="1019"/>
      <c r="L55" s="1020"/>
      <c r="M55" s="509"/>
      <c r="N55" s="1021"/>
      <c r="O55" s="1021"/>
      <c r="P55" s="1018"/>
      <c r="Q55" s="97"/>
      <c r="R55" s="1019"/>
      <c r="S55" s="509"/>
      <c r="T55" s="509"/>
      <c r="U55" s="511"/>
      <c r="V55" s="511"/>
      <c r="W55" s="512"/>
      <c r="Y55" s="561"/>
      <c r="Z55" s="561"/>
      <c r="AA55" s="561"/>
      <c r="AB55" s="561"/>
    </row>
    <row r="56" spans="1:28" s="83" customFormat="1" ht="12" customHeight="1">
      <c r="A56" s="137" t="s">
        <v>130</v>
      </c>
      <c r="B56" s="959"/>
      <c r="C56" s="971"/>
      <c r="D56" s="971"/>
      <c r="E56" s="971"/>
      <c r="F56" s="480"/>
      <c r="G56" s="481"/>
      <c r="H56" s="481"/>
      <c r="I56" s="481"/>
      <c r="J56" s="708"/>
      <c r="K56" s="745"/>
      <c r="L56" s="746"/>
      <c r="M56" s="481"/>
      <c r="N56" s="653"/>
      <c r="O56" s="653"/>
      <c r="P56" s="578"/>
      <c r="Q56" s="97"/>
      <c r="R56" s="745"/>
      <c r="S56" s="481"/>
      <c r="T56" s="481"/>
      <c r="U56" s="513"/>
      <c r="V56" s="513"/>
      <c r="W56" s="514"/>
      <c r="X56" s="74"/>
      <c r="Y56" s="561"/>
      <c r="Z56" s="561"/>
      <c r="AA56" s="561"/>
      <c r="AB56" s="561"/>
    </row>
    <row r="57" spans="1:28" s="83" customFormat="1" ht="12" customHeight="1">
      <c r="A57" s="153" t="s">
        <v>131</v>
      </c>
      <c r="B57" s="959"/>
      <c r="C57" s="971"/>
      <c r="D57" s="971"/>
      <c r="E57" s="971"/>
      <c r="F57" s="1007"/>
      <c r="G57" s="1008"/>
      <c r="H57" s="1008"/>
      <c r="I57" s="1008"/>
      <c r="J57" s="1023"/>
      <c r="K57" s="1014"/>
      <c r="L57" s="1015"/>
      <c r="M57" s="1008"/>
      <c r="N57" s="932"/>
      <c r="O57" s="932"/>
      <c r="P57" s="1009"/>
      <c r="Q57" s="97"/>
      <c r="R57" s="1014"/>
      <c r="S57" s="1008"/>
      <c r="T57" s="1008"/>
      <c r="U57" s="1008"/>
      <c r="V57" s="447"/>
      <c r="W57" s="448"/>
      <c r="X57" s="74"/>
      <c r="Y57" s="561"/>
      <c r="Z57" s="561"/>
      <c r="AA57" s="561"/>
      <c r="AB57" s="561"/>
    </row>
    <row r="58" spans="1:28" ht="12" customHeight="1">
      <c r="A58" s="170"/>
      <c r="B58" s="171"/>
      <c r="C58" s="992"/>
      <c r="D58" s="992"/>
      <c r="E58" s="992"/>
      <c r="F58" s="464"/>
      <c r="G58" s="464"/>
      <c r="H58" s="464"/>
      <c r="I58" s="464"/>
      <c r="J58" s="464"/>
      <c r="K58" s="833"/>
      <c r="L58" s="833"/>
      <c r="M58" s="172"/>
      <c r="N58" s="606"/>
      <c r="O58" s="606"/>
      <c r="P58" s="606"/>
      <c r="Q58" s="97"/>
      <c r="R58" s="833"/>
      <c r="S58" s="465"/>
      <c r="T58" s="465"/>
      <c r="U58" s="466"/>
      <c r="V58" s="467"/>
      <c r="W58" s="467"/>
    </row>
    <row r="59" spans="1:28" ht="15.6" customHeight="1">
      <c r="A59" s="91" t="s">
        <v>132</v>
      </c>
      <c r="B59" s="91"/>
      <c r="C59" s="993"/>
      <c r="D59" s="993"/>
      <c r="E59" s="993"/>
      <c r="F59" s="216"/>
      <c r="G59" s="216"/>
      <c r="H59" s="216"/>
      <c r="I59" s="216"/>
      <c r="J59" s="216"/>
      <c r="K59" s="834"/>
      <c r="L59" s="834"/>
      <c r="M59" s="93"/>
      <c r="N59" s="587"/>
      <c r="O59" s="587"/>
      <c r="P59" s="587"/>
      <c r="Q59" s="97"/>
      <c r="R59" s="834"/>
      <c r="S59" s="92"/>
      <c r="T59" s="92"/>
      <c r="U59" s="94"/>
      <c r="V59" s="94"/>
      <c r="W59" s="94"/>
    </row>
    <row r="60" spans="1:28" ht="12" customHeight="1">
      <c r="A60" s="173" t="s">
        <v>133</v>
      </c>
      <c r="B60" s="959"/>
      <c r="C60" s="971"/>
      <c r="D60" s="971"/>
      <c r="E60" s="971"/>
      <c r="F60" s="121">
        <v>247.47557186293</v>
      </c>
      <c r="G60" s="564">
        <v>241.5275</v>
      </c>
      <c r="H60" s="564">
        <v>222.59704362717432</v>
      </c>
      <c r="I60" s="564">
        <v>230.68155772183056</v>
      </c>
      <c r="J60" s="707">
        <v>241.4360823933547</v>
      </c>
      <c r="K60" s="812">
        <f>K31*0.25%</f>
        <v>199.13396719833719</v>
      </c>
      <c r="L60" s="812">
        <f>L31*0.25%</f>
        <v>191.60519523967881</v>
      </c>
      <c r="M60" s="564">
        <f>K60+L60</f>
        <v>390.73916243801602</v>
      </c>
      <c r="N60" s="812">
        <f>N31*0.25%</f>
        <v>197.87888809757143</v>
      </c>
      <c r="O60" s="812">
        <f>O31*0.25%</f>
        <v>201.77395832375254</v>
      </c>
      <c r="P60" s="812">
        <f>P31*0.25%</f>
        <v>207.47643772308646</v>
      </c>
      <c r="Q60" s="97"/>
      <c r="R60" s="812">
        <f>R31*0.25%</f>
        <v>199.13396719833719</v>
      </c>
      <c r="S60" s="564"/>
      <c r="T60" s="564"/>
      <c r="U60" s="100"/>
      <c r="V60" s="123"/>
      <c r="W60" s="124"/>
      <c r="Y60" s="561"/>
      <c r="Z60" s="561"/>
      <c r="AA60" s="561"/>
      <c r="AB60" s="561"/>
    </row>
    <row r="61" spans="1:28" s="112" customFormat="1" ht="12" customHeight="1">
      <c r="A61" s="174" t="s">
        <v>134</v>
      </c>
      <c r="B61" s="961"/>
      <c r="C61" s="972"/>
      <c r="D61" s="972"/>
      <c r="E61" s="972"/>
      <c r="F61" s="175">
        <f t="shared" ref="F61:R61" si="16">F18-F60</f>
        <v>98742.753173309044</v>
      </c>
      <c r="G61" s="176">
        <f t="shared" si="16"/>
        <v>96369.244500000059</v>
      </c>
      <c r="H61" s="176">
        <f t="shared" si="16"/>
        <v>88663.159804195922</v>
      </c>
      <c r="I61" s="176">
        <f t="shared" si="16"/>
        <v>92041.941531010467</v>
      </c>
      <c r="J61" s="220">
        <f t="shared" si="16"/>
        <v>96332.996874948542</v>
      </c>
      <c r="K61" s="754">
        <f t="shared" si="16"/>
        <v>79454.452912136534</v>
      </c>
      <c r="L61" s="755">
        <f t="shared" si="16"/>
        <v>76450.472900631808</v>
      </c>
      <c r="M61" s="607">
        <f>M18-M60</f>
        <v>155904.92581276834</v>
      </c>
      <c r="N61" s="607">
        <f t="shared" si="16"/>
        <v>78953.676350930982</v>
      </c>
      <c r="O61" s="607">
        <f t="shared" si="16"/>
        <v>80507.809371177253</v>
      </c>
      <c r="P61" s="608">
        <f t="shared" si="16"/>
        <v>82783.098651511493</v>
      </c>
      <c r="Q61" s="97"/>
      <c r="R61" s="754">
        <f t="shared" si="16"/>
        <v>79454.452912136534</v>
      </c>
      <c r="S61" s="176"/>
      <c r="T61" s="176"/>
      <c r="U61" s="468"/>
      <c r="V61" s="177"/>
      <c r="W61" s="178"/>
      <c r="Y61" s="561"/>
      <c r="Z61" s="561"/>
      <c r="AA61" s="561"/>
      <c r="AB61" s="561"/>
    </row>
    <row r="62" spans="1:28" s="179" customFormat="1" ht="12" customHeight="1">
      <c r="A62" s="93"/>
      <c r="B62" s="79"/>
      <c r="C62" s="963"/>
      <c r="D62" s="963"/>
      <c r="E62" s="963"/>
      <c r="F62" s="79"/>
      <c r="G62" s="79"/>
      <c r="H62" s="79"/>
      <c r="I62" s="79"/>
      <c r="J62" s="79"/>
      <c r="K62" s="835"/>
      <c r="L62" s="835"/>
      <c r="M62" s="217"/>
      <c r="N62" s="600"/>
      <c r="O62" s="600"/>
      <c r="P62" s="600"/>
      <c r="Q62" s="97"/>
      <c r="R62" s="835"/>
      <c r="S62" s="217"/>
      <c r="T62" s="217"/>
      <c r="U62" s="218"/>
      <c r="V62" s="218"/>
      <c r="W62" s="218"/>
      <c r="X62" s="74"/>
    </row>
    <row r="63" spans="1:28" ht="15.6" customHeight="1">
      <c r="A63" s="91" t="s">
        <v>135</v>
      </c>
      <c r="B63" s="91"/>
      <c r="C63" s="969"/>
      <c r="D63" s="969"/>
      <c r="E63" s="969"/>
      <c r="F63" s="91"/>
      <c r="G63" s="91"/>
      <c r="H63" s="91"/>
      <c r="I63" s="91"/>
      <c r="J63" s="91"/>
      <c r="K63" s="742"/>
      <c r="L63" s="742"/>
      <c r="M63" s="93"/>
      <c r="N63" s="586"/>
      <c r="O63" s="586"/>
      <c r="P63" s="587"/>
      <c r="Q63" s="97"/>
      <c r="R63" s="742"/>
      <c r="S63" s="93"/>
      <c r="T63" s="93"/>
      <c r="U63" s="94"/>
      <c r="V63" s="94"/>
      <c r="W63" s="94"/>
    </row>
    <row r="64" spans="1:28" s="184" customFormat="1" ht="12" customHeight="1">
      <c r="A64" s="134" t="s">
        <v>136</v>
      </c>
      <c r="B64" s="79"/>
      <c r="C64" s="979"/>
      <c r="D64" s="979"/>
      <c r="E64" s="979"/>
      <c r="F64" s="180">
        <f>'T1'!F64</f>
        <v>0.02</v>
      </c>
      <c r="G64" s="181">
        <f>'T1'!G64</f>
        <v>3.9E-2</v>
      </c>
      <c r="H64" s="181">
        <f>'T1'!H64</f>
        <v>1.9E-2</v>
      </c>
      <c r="I64" s="181">
        <f>'T1'!I64</f>
        <v>0.03</v>
      </c>
      <c r="J64" s="927">
        <f>'T1'!J64</f>
        <v>2.3E-2</v>
      </c>
      <c r="K64" s="1046">
        <f>'T1'!K64</f>
        <v>1.2E-2</v>
      </c>
      <c r="L64" s="1036">
        <f>'T1'!L64</f>
        <v>2.1999999999999999E-2</v>
      </c>
      <c r="M64" s="533"/>
      <c r="N64" s="181">
        <f>'T1'!N64</f>
        <v>0.02</v>
      </c>
      <c r="O64" s="181">
        <f>'T1'!O64</f>
        <v>0.02</v>
      </c>
      <c r="P64" s="927">
        <f>'T1'!P64</f>
        <v>0.02</v>
      </c>
      <c r="Q64" s="97"/>
      <c r="R64" s="1035">
        <f>'T1'!R64</f>
        <v>1.2E-2</v>
      </c>
      <c r="S64" s="1036"/>
      <c r="T64" s="1036"/>
      <c r="U64" s="181"/>
      <c r="V64" s="181"/>
      <c r="W64" s="927"/>
      <c r="X64" s="74"/>
      <c r="Y64" s="561"/>
      <c r="Z64" s="561"/>
      <c r="AA64" s="561"/>
      <c r="AB64" s="561"/>
    </row>
    <row r="65" spans="1:28" s="179" customFormat="1" ht="12" customHeight="1">
      <c r="A65" s="137" t="s">
        <v>137</v>
      </c>
      <c r="B65" s="79"/>
      <c r="C65" s="980"/>
      <c r="D65" s="980"/>
      <c r="E65" s="980"/>
      <c r="F65" s="185">
        <f>'T1'!F65</f>
        <v>94.45180643802405</v>
      </c>
      <c r="G65" s="570">
        <f>'T1'!G65</f>
        <v>98.135426889106981</v>
      </c>
      <c r="H65" s="570">
        <f>'T1'!H65</f>
        <v>100</v>
      </c>
      <c r="I65" s="570">
        <f>'T1'!I65</f>
        <v>103</v>
      </c>
      <c r="J65" s="928">
        <f>'T1'!J65</f>
        <v>105.36899999999999</v>
      </c>
      <c r="K65" s="1037">
        <f>'T1'!K65</f>
        <v>106.63342799999998</v>
      </c>
      <c r="L65" s="1038">
        <f>'T1'!L65</f>
        <v>108.97936341599998</v>
      </c>
      <c r="M65" s="536"/>
      <c r="N65" s="570">
        <f>'T1'!N65</f>
        <v>111.15895068431999</v>
      </c>
      <c r="O65" s="570">
        <f>'T1'!O65</f>
        <v>113.38212969800639</v>
      </c>
      <c r="P65" s="928">
        <f>'T1'!P65</f>
        <v>115.64977229196653</v>
      </c>
      <c r="Q65" s="97"/>
      <c r="R65" s="1037">
        <f>'T1'!R65</f>
        <v>106.63342799999998</v>
      </c>
      <c r="S65" s="1038"/>
      <c r="T65" s="1038"/>
      <c r="U65" s="570"/>
      <c r="V65" s="570"/>
      <c r="W65" s="928"/>
      <c r="X65" s="74"/>
      <c r="Y65" s="561"/>
      <c r="Z65" s="561"/>
      <c r="AA65" s="561"/>
      <c r="AB65" s="561"/>
    </row>
    <row r="66" spans="1:28" s="179" customFormat="1" ht="12" customHeight="1">
      <c r="A66" s="188" t="s">
        <v>138</v>
      </c>
      <c r="B66" s="189"/>
      <c r="C66" s="972"/>
      <c r="D66" s="972"/>
      <c r="E66" s="972"/>
      <c r="F66" s="109">
        <f t="shared" ref="F66:L66" si="17">((F61-F15-F16-F29-F30+F79+F80)/(F65/100))+F15+F16+F29+F30-F79-F80</f>
        <v>104388.91132313672</v>
      </c>
      <c r="G66" s="567">
        <f t="shared" si="17"/>
        <v>98031.624147771028</v>
      </c>
      <c r="H66" s="131">
        <f t="shared" si="17"/>
        <v>88663.159804195922</v>
      </c>
      <c r="I66" s="567">
        <f t="shared" si="17"/>
        <v>89619.355255349961</v>
      </c>
      <c r="J66" s="219">
        <f t="shared" si="17"/>
        <v>91779.666127357792</v>
      </c>
      <c r="K66" s="1047">
        <f t="shared" si="17"/>
        <v>75016.068164327356</v>
      </c>
      <c r="L66" s="1041">
        <f t="shared" si="17"/>
        <v>70925.634946222781</v>
      </c>
      <c r="M66" s="131">
        <f>K66+L66</f>
        <v>145941.70311055012</v>
      </c>
      <c r="N66" s="131">
        <f t="shared" ref="N66:P66" si="18">((N61-N15-N16-N29-N30+N79+N80)/(N65/100))+N15+N16+N29+N30-N79-N80</f>
        <v>72109.970543952062</v>
      </c>
      <c r="O66" s="131">
        <f t="shared" si="18"/>
        <v>72374.348815256832</v>
      </c>
      <c r="P66" s="1048">
        <f t="shared" si="18"/>
        <v>73157.50121146231</v>
      </c>
      <c r="Q66" s="97"/>
      <c r="R66" s="1049">
        <f t="shared" ref="R66" si="19">((R61-R15-R16-R29-R30+R79+R80)/(R65/100))+R15+R16+R29+R30-R79-R80</f>
        <v>75016.068164327356</v>
      </c>
      <c r="S66" s="1041"/>
      <c r="T66" s="1041"/>
      <c r="U66" s="131"/>
      <c r="V66" s="131"/>
      <c r="W66" s="1048"/>
      <c r="X66" s="74"/>
      <c r="Y66" s="561"/>
      <c r="Z66" s="561"/>
      <c r="AA66" s="561"/>
      <c r="AB66" s="561"/>
    </row>
    <row r="67" spans="1:28" s="179" customFormat="1" ht="12" customHeight="1">
      <c r="A67" s="192" t="s">
        <v>99</v>
      </c>
      <c r="B67" s="79"/>
      <c r="C67" s="981"/>
      <c r="D67" s="981"/>
      <c r="E67" s="981"/>
      <c r="F67" s="1002"/>
      <c r="G67" s="193">
        <f t="shared" ref="G67:J67" si="20">G66/F66-1</f>
        <v>-6.0900023716950691E-2</v>
      </c>
      <c r="H67" s="571">
        <f t="shared" si="20"/>
        <v>-9.5565736312327787E-2</v>
      </c>
      <c r="I67" s="571">
        <f t="shared" si="20"/>
        <v>1.0784585765561516E-2</v>
      </c>
      <c r="J67" s="929">
        <f t="shared" si="20"/>
        <v>2.410540519793436E-2</v>
      </c>
      <c r="K67" s="1050">
        <f t="shared" ref="K67:L67" si="21">K66/J66-1</f>
        <v>-0.18265045701700933</v>
      </c>
      <c r="L67" s="1042">
        <f t="shared" si="21"/>
        <v>-5.452742749918893E-2</v>
      </c>
      <c r="M67" s="718"/>
      <c r="N67" s="571">
        <f>N66/L66-1</f>
        <v>1.6698272756067167E-2</v>
      </c>
      <c r="O67" s="571">
        <f t="shared" ref="O67:P67" si="22">O66/N66-1</f>
        <v>3.6663206115667979E-3</v>
      </c>
      <c r="P67" s="1051">
        <f t="shared" si="22"/>
        <v>1.0820855856051415E-2</v>
      </c>
      <c r="Q67" s="97"/>
      <c r="R67" s="1052">
        <f>+R66/J66-1</f>
        <v>-0.18265045701700933</v>
      </c>
      <c r="S67" s="1042"/>
      <c r="T67" s="1042"/>
      <c r="U67" s="571"/>
      <c r="V67" s="571"/>
      <c r="W67" s="1051"/>
      <c r="X67" s="74"/>
      <c r="Y67" s="561"/>
      <c r="Z67" s="561"/>
      <c r="AA67" s="561"/>
      <c r="AB67" s="561"/>
    </row>
    <row r="68" spans="1:28" s="179" customFormat="1" ht="12" customHeight="1">
      <c r="A68" s="196" t="s">
        <v>139</v>
      </c>
      <c r="B68" s="197"/>
      <c r="C68" s="982"/>
      <c r="D68" s="982"/>
      <c r="E68" s="982"/>
      <c r="F68" s="198">
        <f>'T1'!F68</f>
        <v>246.09299999999999</v>
      </c>
      <c r="G68" s="111">
        <f>'T1'!G68</f>
        <v>245.18199999999999</v>
      </c>
      <c r="H68" s="572">
        <f>'T1'!H68</f>
        <v>249.824836137597</v>
      </c>
      <c r="I68" s="572">
        <f>'T1'!I68</f>
        <v>256.3</v>
      </c>
      <c r="J68" s="930">
        <f>'T1'!J68</f>
        <v>256.00565702730603</v>
      </c>
      <c r="K68" s="1053">
        <f>'T1'!K68</f>
        <v>134.32968502803001</v>
      </c>
      <c r="L68" s="1043">
        <f>'T1'!L68</f>
        <v>139.24003148171201</v>
      </c>
      <c r="M68" s="111">
        <f>K68+L68</f>
        <v>273.56971650974202</v>
      </c>
      <c r="N68" s="572">
        <f>'T1'!N68</f>
        <v>204.80311130053201</v>
      </c>
      <c r="O68" s="572">
        <f>'T1'!O68</f>
        <v>240.42251109710699</v>
      </c>
      <c r="P68" s="930">
        <f>'T1'!P68</f>
        <v>258.33819951035298</v>
      </c>
      <c r="Q68" s="97"/>
      <c r="R68" s="1054">
        <f>'T1'!R68</f>
        <v>134.32968502803001</v>
      </c>
      <c r="S68" s="1043"/>
      <c r="T68" s="1043"/>
      <c r="U68" s="572"/>
      <c r="V68" s="572"/>
      <c r="W68" s="930"/>
      <c r="X68" s="74"/>
      <c r="Y68" s="561"/>
      <c r="Z68" s="561"/>
      <c r="AA68" s="561"/>
      <c r="AB68" s="561"/>
    </row>
    <row r="69" spans="1:28" s="179" customFormat="1" ht="12" customHeight="1">
      <c r="A69" s="192" t="s">
        <v>99</v>
      </c>
      <c r="B69" s="197"/>
      <c r="C69" s="981"/>
      <c r="D69" s="981"/>
      <c r="E69" s="981"/>
      <c r="F69" s="1002"/>
      <c r="G69" s="193">
        <f t="shared" ref="G69:J69" si="23">G68/F68-1</f>
        <v>-3.7018525516776535E-3</v>
      </c>
      <c r="H69" s="571">
        <f t="shared" si="23"/>
        <v>1.8936284627733668E-2</v>
      </c>
      <c r="I69" s="571">
        <f t="shared" si="23"/>
        <v>2.5918815609015988E-2</v>
      </c>
      <c r="J69" s="929">
        <f t="shared" si="23"/>
        <v>-1.14843141901666E-3</v>
      </c>
      <c r="K69" s="1050">
        <f t="shared" ref="K69:L69" si="24">K68/J68-1</f>
        <v>-0.47528626285901887</v>
      </c>
      <c r="L69" s="1042">
        <f t="shared" si="24"/>
        <v>3.6554440313452563E-2</v>
      </c>
      <c r="M69" s="718"/>
      <c r="N69" s="571">
        <f>N68/L68-1</f>
        <v>0.47086372447015101</v>
      </c>
      <c r="O69" s="571">
        <f t="shared" ref="O69:P69" si="25">O68/N68-1</f>
        <v>0.17392020839129918</v>
      </c>
      <c r="P69" s="1051">
        <f t="shared" si="25"/>
        <v>7.4517516398494799E-2</v>
      </c>
      <c r="Q69" s="97"/>
      <c r="R69" s="1052">
        <f>+R68/J68-1</f>
        <v>-0.47528626285901887</v>
      </c>
      <c r="S69" s="1042"/>
      <c r="T69" s="1042"/>
      <c r="U69" s="571"/>
      <c r="V69" s="571"/>
      <c r="W69" s="1051"/>
      <c r="X69" s="74"/>
      <c r="Y69" s="561"/>
      <c r="Z69" s="561"/>
      <c r="AA69" s="561"/>
      <c r="AB69" s="561"/>
    </row>
    <row r="70" spans="1:28" s="179" customFormat="1" ht="12" customHeight="1">
      <c r="A70" s="196" t="s">
        <v>140</v>
      </c>
      <c r="B70" s="197"/>
      <c r="C70" s="983"/>
      <c r="D70" s="983"/>
      <c r="E70" s="983"/>
      <c r="F70" s="199">
        <f t="shared" ref="F70:R70" si="26">F66/F68</f>
        <v>424.18480543183563</v>
      </c>
      <c r="G70" s="200">
        <f t="shared" si="26"/>
        <v>399.83206005241425</v>
      </c>
      <c r="H70" s="573">
        <f t="shared" si="26"/>
        <v>354.90130274862889</v>
      </c>
      <c r="I70" s="573">
        <f t="shared" si="26"/>
        <v>349.66584180784218</v>
      </c>
      <c r="J70" s="1027">
        <f t="shared" si="26"/>
        <v>358.50639862059143</v>
      </c>
      <c r="K70" s="1055">
        <f t="shared" si="26"/>
        <v>558.44743586403899</v>
      </c>
      <c r="L70" s="1044">
        <f t="shared" si="26"/>
        <v>509.37675172486769</v>
      </c>
      <c r="M70" s="200">
        <f>M66/M68</f>
        <v>533.47170502826111</v>
      </c>
      <c r="N70" s="573">
        <f t="shared" si="26"/>
        <v>352.09411656904228</v>
      </c>
      <c r="O70" s="573">
        <f t="shared" si="26"/>
        <v>301.02983487276168</v>
      </c>
      <c r="P70" s="1056">
        <f t="shared" si="26"/>
        <v>283.18499296706023</v>
      </c>
      <c r="Q70" s="97"/>
      <c r="R70" s="1057">
        <f t="shared" si="26"/>
        <v>558.44743586403899</v>
      </c>
      <c r="S70" s="1044"/>
      <c r="T70" s="1044"/>
      <c r="U70" s="573"/>
      <c r="V70" s="573"/>
      <c r="W70" s="1056"/>
      <c r="X70" s="74"/>
      <c r="Y70" s="561"/>
      <c r="Z70" s="561"/>
      <c r="AA70" s="561"/>
      <c r="AB70" s="561"/>
    </row>
    <row r="71" spans="1:28" ht="12" customHeight="1">
      <c r="A71" s="203" t="s">
        <v>99</v>
      </c>
      <c r="B71" s="197"/>
      <c r="C71" s="981"/>
      <c r="D71" s="981"/>
      <c r="E71" s="981"/>
      <c r="F71" s="1003"/>
      <c r="G71" s="204">
        <f t="shared" ref="G71:J71" si="27">+G70/F70-1</f>
        <v>-5.7410697100829466E-2</v>
      </c>
      <c r="H71" s="569">
        <f t="shared" si="27"/>
        <v>-0.11237407349949713</v>
      </c>
      <c r="I71" s="569">
        <f t="shared" si="27"/>
        <v>-1.4751878621575232E-2</v>
      </c>
      <c r="J71" s="1028">
        <f t="shared" si="27"/>
        <v>2.5282872261819467E-2</v>
      </c>
      <c r="K71" s="1058">
        <f>K70/J70-1</f>
        <v>0.55770563095317538</v>
      </c>
      <c r="L71" s="1045">
        <f>L70/K70-1</f>
        <v>-8.7869835167652566E-2</v>
      </c>
      <c r="M71" s="447"/>
      <c r="N71" s="569">
        <f>N70/L70-1</f>
        <v>-0.30877466359277284</v>
      </c>
      <c r="O71" s="569">
        <f>O70/N70-1</f>
        <v>-0.14503020440634762</v>
      </c>
      <c r="P71" s="1059">
        <f t="shared" ref="P71" si="28">P70/O70-1</f>
        <v>-5.9279313338639894E-2</v>
      </c>
      <c r="Q71" s="97"/>
      <c r="R71" s="1060">
        <f>+R70/J70-1</f>
        <v>0.55770563095317538</v>
      </c>
      <c r="S71" s="1045"/>
      <c r="T71" s="1045"/>
      <c r="U71" s="569"/>
      <c r="V71" s="569"/>
      <c r="W71" s="1059"/>
      <c r="Y71" s="561"/>
      <c r="Z71" s="561"/>
      <c r="AA71" s="561"/>
      <c r="AB71" s="561"/>
    </row>
    <row r="72" spans="1:28" s="450" customFormat="1" ht="12" customHeight="1">
      <c r="A72" s="206"/>
      <c r="B72" s="197"/>
      <c r="C72" s="984"/>
      <c r="D72" s="984"/>
      <c r="E72" s="984"/>
      <c r="F72" s="197"/>
      <c r="G72" s="197"/>
      <c r="H72" s="197"/>
      <c r="I72" s="197"/>
      <c r="J72" s="197"/>
      <c r="K72" s="788"/>
      <c r="L72" s="788"/>
      <c r="M72" s="194"/>
      <c r="N72" s="194"/>
      <c r="O72" s="194"/>
      <c r="P72" s="194"/>
      <c r="Q72" s="97"/>
      <c r="R72" s="788"/>
      <c r="S72" s="179"/>
      <c r="T72" s="179"/>
      <c r="U72" s="179"/>
      <c r="V72" s="179"/>
      <c r="W72" s="179"/>
    </row>
    <row r="73" spans="1:28" s="450" customFormat="1" ht="12" customHeight="1">
      <c r="A73" s="207" t="s">
        <v>141</v>
      </c>
      <c r="B73" s="83"/>
      <c r="C73" s="967"/>
      <c r="D73" s="967"/>
      <c r="E73" s="967"/>
      <c r="F73" s="83"/>
      <c r="G73" s="83"/>
      <c r="H73" s="83"/>
      <c r="I73" s="83"/>
      <c r="J73" s="83"/>
      <c r="K73" s="207"/>
      <c r="L73" s="207"/>
      <c r="M73" s="83"/>
      <c r="N73" s="83"/>
      <c r="O73" s="83"/>
      <c r="P73" s="83"/>
      <c r="Q73" s="97"/>
      <c r="R73" s="207"/>
      <c r="S73" s="74"/>
      <c r="T73" s="74"/>
      <c r="U73" s="74"/>
      <c r="V73" s="74"/>
      <c r="W73" s="74"/>
    </row>
    <row r="74" spans="1:28" s="459" customFormat="1" ht="12" customHeight="1">
      <c r="A74" s="208" t="s">
        <v>499</v>
      </c>
      <c r="B74" s="209"/>
      <c r="C74" s="985"/>
      <c r="D74" s="985"/>
      <c r="E74" s="985"/>
      <c r="F74" s="209"/>
      <c r="G74" s="209"/>
      <c r="H74" s="209"/>
      <c r="I74" s="209"/>
      <c r="J74" s="209"/>
      <c r="K74" s="215"/>
      <c r="L74" s="215"/>
      <c r="M74" s="210"/>
      <c r="N74" s="182"/>
      <c r="O74" s="469"/>
      <c r="P74" s="211"/>
      <c r="Q74" s="97"/>
      <c r="R74" s="215"/>
      <c r="S74" s="450"/>
      <c r="T74" s="450"/>
      <c r="U74" s="450"/>
      <c r="V74" s="450"/>
      <c r="W74" s="450"/>
    </row>
    <row r="75" spans="1:28" s="459" customFormat="1" ht="12" customHeight="1">
      <c r="A75" s="208" t="s">
        <v>142</v>
      </c>
      <c r="B75" s="212"/>
      <c r="C75" s="986"/>
      <c r="D75" s="986"/>
      <c r="E75" s="986"/>
      <c r="F75" s="212"/>
      <c r="G75" s="212"/>
      <c r="H75" s="212"/>
      <c r="I75" s="212"/>
      <c r="J75" s="212"/>
      <c r="K75" s="215"/>
      <c r="L75" s="215"/>
      <c r="M75" s="215"/>
      <c r="N75" s="215"/>
      <c r="O75" s="470"/>
      <c r="P75" s="210"/>
      <c r="Q75" s="97"/>
      <c r="R75" s="215"/>
      <c r="S75" s="74"/>
      <c r="T75" s="74"/>
      <c r="U75" s="74"/>
      <c r="V75" s="74"/>
      <c r="W75" s="74"/>
    </row>
    <row r="76" spans="1:28" ht="12" customHeight="1">
      <c r="A76" s="208" t="s">
        <v>143</v>
      </c>
      <c r="B76" s="213"/>
      <c r="C76" s="987"/>
      <c r="D76" s="987"/>
      <c r="E76" s="987"/>
      <c r="F76" s="213"/>
      <c r="G76" s="213"/>
      <c r="H76" s="213"/>
      <c r="I76" s="213"/>
      <c r="J76" s="213"/>
      <c r="K76" s="723"/>
      <c r="L76" s="723"/>
      <c r="M76" s="214"/>
      <c r="N76" s="214"/>
      <c r="O76" s="471"/>
      <c r="P76" s="472"/>
      <c r="Q76" s="97"/>
      <c r="R76" s="723"/>
      <c r="S76" s="459"/>
      <c r="T76" s="459"/>
      <c r="U76" s="459"/>
      <c r="V76" s="459"/>
      <c r="W76" s="459"/>
    </row>
    <row r="77" spans="1:28" s="459" customFormat="1" ht="12" customHeight="1">
      <c r="A77" s="208"/>
      <c r="B77" s="83"/>
      <c r="C77" s="967"/>
      <c r="D77" s="967"/>
      <c r="E77" s="967"/>
      <c r="F77" s="83"/>
      <c r="G77" s="83"/>
      <c r="H77" s="83"/>
      <c r="I77" s="83"/>
      <c r="J77" s="83"/>
      <c r="K77" s="725"/>
      <c r="L77" s="725"/>
      <c r="M77" s="473"/>
      <c r="N77" s="473"/>
      <c r="O77" s="710"/>
      <c r="P77" s="472"/>
      <c r="Q77" s="97"/>
      <c r="R77" s="725"/>
    </row>
    <row r="78" spans="1:28" ht="12" customHeight="1">
      <c r="A78" s="1152" t="s">
        <v>674</v>
      </c>
      <c r="B78" s="1153"/>
      <c r="C78" s="1153"/>
      <c r="D78" s="1153"/>
      <c r="E78" s="1153"/>
      <c r="F78" s="1153"/>
      <c r="G78" s="1153"/>
      <c r="H78" s="1153"/>
      <c r="I78" s="1153"/>
      <c r="J78" s="1154"/>
      <c r="K78" s="1153"/>
      <c r="L78" s="1153"/>
      <c r="M78" s="1153"/>
      <c r="N78" s="1153"/>
      <c r="O78" s="1153"/>
      <c r="P78" s="214"/>
      <c r="Q78" s="97"/>
      <c r="R78" s="475"/>
    </row>
    <row r="79" spans="1:28" ht="12" customHeight="1">
      <c r="A79" s="93" t="s">
        <v>95</v>
      </c>
      <c r="B79" s="93"/>
      <c r="C79" s="93"/>
      <c r="D79" s="93"/>
      <c r="E79" s="93"/>
      <c r="F79" s="1155">
        <v>0</v>
      </c>
      <c r="G79" s="1155">
        <v>0</v>
      </c>
      <c r="H79" s="1155">
        <v>0</v>
      </c>
      <c r="I79" s="1155">
        <v>0</v>
      </c>
      <c r="J79" s="1155">
        <v>0</v>
      </c>
      <c r="K79" s="1167">
        <v>0</v>
      </c>
      <c r="L79" s="1167">
        <v>0</v>
      </c>
      <c r="M79" s="107">
        <f>K79+L79</f>
        <v>0</v>
      </c>
      <c r="N79" s="1155">
        <v>0</v>
      </c>
      <c r="O79" s="1155">
        <v>0</v>
      </c>
      <c r="P79" s="1155">
        <v>0</v>
      </c>
      <c r="Q79" s="1155"/>
      <c r="R79" s="1167">
        <v>0</v>
      </c>
      <c r="S79" s="459"/>
      <c r="T79" s="459"/>
      <c r="U79" s="459"/>
      <c r="V79" s="459"/>
      <c r="W79" s="459"/>
    </row>
    <row r="80" spans="1:28" s="459" customFormat="1" ht="12" customHeight="1">
      <c r="A80" s="93" t="s">
        <v>96</v>
      </c>
      <c r="B80" s="93"/>
      <c r="C80" s="93"/>
      <c r="D80" s="93"/>
      <c r="E80" s="93"/>
      <c r="F80" s="1155">
        <v>0</v>
      </c>
      <c r="G80" s="1155">
        <v>0</v>
      </c>
      <c r="H80" s="1155">
        <v>0</v>
      </c>
      <c r="I80" s="1155">
        <v>0</v>
      </c>
      <c r="J80" s="1155">
        <v>0</v>
      </c>
      <c r="K80" s="1167">
        <v>0</v>
      </c>
      <c r="L80" s="1167">
        <v>0</v>
      </c>
      <c r="M80" s="107">
        <f>K80+L80</f>
        <v>0</v>
      </c>
      <c r="N80" s="1155">
        <v>0</v>
      </c>
      <c r="O80" s="1155">
        <v>0</v>
      </c>
      <c r="P80" s="1155">
        <v>0</v>
      </c>
      <c r="Q80" s="1155"/>
      <c r="R80" s="1167">
        <v>0</v>
      </c>
    </row>
    <row r="81" spans="1:23" ht="12" customHeight="1">
      <c r="A81" s="75"/>
      <c r="B81" s="75"/>
      <c r="F81" s="75"/>
      <c r="G81" s="75"/>
      <c r="H81" s="75"/>
      <c r="I81" s="75"/>
      <c r="J81" s="75"/>
      <c r="K81" s="474"/>
      <c r="L81" s="474"/>
      <c r="N81" s="75"/>
      <c r="O81" s="75"/>
      <c r="P81" s="75"/>
      <c r="Q81" s="473"/>
      <c r="R81" s="474"/>
      <c r="S81" s="459"/>
      <c r="T81" s="459"/>
      <c r="U81" s="459"/>
      <c r="V81" s="459"/>
      <c r="W81" s="459"/>
    </row>
    <row r="82" spans="1:23">
      <c r="F82" s="669"/>
      <c r="G82" s="669"/>
      <c r="H82" s="669"/>
      <c r="I82" s="669"/>
      <c r="J82" s="669"/>
      <c r="K82" s="727"/>
      <c r="L82" s="727"/>
      <c r="M82" s="74"/>
      <c r="N82" s="669"/>
      <c r="O82" s="669"/>
      <c r="P82" s="669"/>
      <c r="Q82" s="90"/>
      <c r="R82" s="727"/>
      <c r="S82" s="90"/>
      <c r="T82" s="90"/>
      <c r="U82" s="90"/>
      <c r="V82" s="90"/>
      <c r="W82" s="90"/>
    </row>
    <row r="83" spans="1:23">
      <c r="P83" s="79"/>
      <c r="Q83" s="79"/>
    </row>
    <row r="85" spans="1:23" ht="12" customHeight="1">
      <c r="A85" s="74"/>
      <c r="B85" s="74"/>
      <c r="C85" s="967"/>
      <c r="D85" s="967"/>
      <c r="E85" s="967"/>
      <c r="F85" s="74"/>
      <c r="G85" s="74"/>
      <c r="H85" s="74"/>
      <c r="I85" s="74"/>
      <c r="J85" s="74"/>
      <c r="K85" s="516"/>
      <c r="L85" s="516"/>
      <c r="N85" s="74"/>
      <c r="O85" s="74"/>
      <c r="R85" s="516"/>
    </row>
    <row r="87" spans="1:23">
      <c r="P87" s="74"/>
      <c r="Q87" s="74"/>
    </row>
    <row r="116" spans="1:18">
      <c r="M116" s="74"/>
    </row>
    <row r="119" spans="1:18" ht="12" customHeight="1">
      <c r="A119" s="476"/>
      <c r="B119" s="74"/>
      <c r="C119" s="967"/>
      <c r="D119" s="967"/>
      <c r="E119" s="967"/>
      <c r="F119" s="74"/>
      <c r="G119" s="74"/>
      <c r="H119" s="74"/>
      <c r="I119" s="74"/>
      <c r="J119" s="74"/>
      <c r="K119" s="516"/>
      <c r="L119" s="516"/>
      <c r="N119" s="74"/>
      <c r="O119" s="74"/>
      <c r="R119" s="516"/>
    </row>
    <row r="121" spans="1:18">
      <c r="P121" s="74"/>
      <c r="Q121" s="74"/>
    </row>
  </sheetData>
  <mergeCells count="3">
    <mergeCell ref="F7:J7"/>
    <mergeCell ref="K7:P7"/>
    <mergeCell ref="R7:W7"/>
  </mergeCells>
  <pageMargins left="0.7" right="0.7" top="0.75" bottom="0.75" header="0.3" footer="0.3"/>
  <pageSetup paperSize="9" scale="6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B121"/>
  <sheetViews>
    <sheetView showGridLines="0" zoomScale="120" zoomScaleNormal="120" workbookViewId="0">
      <selection activeCell="R12" sqref="R12:R17"/>
    </sheetView>
  </sheetViews>
  <sheetFormatPr baseColWidth="10" defaultColWidth="12.5703125" defaultRowHeight="12"/>
  <cols>
    <col min="1" max="1" width="30.7109375" style="90" customWidth="1"/>
    <col min="2" max="2" width="0.5703125" style="90" customWidth="1"/>
    <col min="3" max="5" width="8" style="963" hidden="1" customWidth="1"/>
    <col min="6" max="10" width="8.5703125" style="90" customWidth="1"/>
    <col min="11" max="12" width="8.5703125" style="728" customWidth="1"/>
    <col min="13" max="16" width="8.5703125" style="76" customWidth="1"/>
    <col min="17" max="17" width="0.5703125" style="76" customWidth="1"/>
    <col min="18" max="18" width="8.5703125" style="728" customWidth="1"/>
    <col min="19" max="23" width="8.5703125" style="74" customWidth="1"/>
    <col min="24" max="16384" width="12.5703125" style="74"/>
  </cols>
  <sheetData>
    <row r="1" spans="1:28" ht="12" customHeight="1">
      <c r="A1" s="73" t="s">
        <v>346</v>
      </c>
      <c r="B1" s="73"/>
      <c r="C1" s="962"/>
      <c r="D1" s="962"/>
      <c r="E1" s="962"/>
      <c r="F1" s="73"/>
      <c r="G1" s="73"/>
      <c r="H1" s="73"/>
      <c r="I1" s="73"/>
      <c r="J1" s="73"/>
      <c r="L1" s="729"/>
      <c r="M1" s="73"/>
      <c r="N1" s="73"/>
      <c r="O1" s="73"/>
      <c r="P1" s="73"/>
      <c r="Q1" s="73"/>
      <c r="S1" s="73"/>
      <c r="T1" s="73"/>
      <c r="U1" s="73"/>
      <c r="V1" s="73"/>
      <c r="W1" s="73"/>
    </row>
    <row r="2" spans="1:28" ht="12" customHeight="1">
      <c r="A2" s="75"/>
      <c r="B2" s="75"/>
      <c r="F2" s="75"/>
      <c r="G2" s="75"/>
      <c r="H2" s="75"/>
      <c r="I2" s="75"/>
      <c r="J2" s="75"/>
    </row>
    <row r="3" spans="1:28" ht="12" customHeight="1">
      <c r="A3" s="77" t="str">
        <f>Header!B3</f>
        <v>Norway - TCZ</v>
      </c>
      <c r="B3" s="78"/>
      <c r="C3" s="964"/>
      <c r="D3" s="964"/>
      <c r="E3" s="964"/>
      <c r="F3" s="78"/>
      <c r="G3" s="78"/>
      <c r="H3" s="78"/>
      <c r="I3" s="78"/>
      <c r="J3" s="78"/>
      <c r="K3" s="475"/>
      <c r="L3" s="475"/>
      <c r="M3" s="79"/>
      <c r="N3" s="79"/>
      <c r="O3" s="79"/>
      <c r="P3" s="79"/>
      <c r="Q3" s="79"/>
      <c r="R3" s="475"/>
      <c r="S3" s="430"/>
      <c r="T3" s="430"/>
      <c r="U3" s="430"/>
      <c r="V3" s="430"/>
      <c r="W3" s="430"/>
    </row>
    <row r="4" spans="1:28" ht="12" customHeight="1">
      <c r="A4" s="80" t="s">
        <v>695</v>
      </c>
      <c r="B4" s="78"/>
      <c r="C4" s="1031"/>
      <c r="E4" s="964"/>
      <c r="F4" s="78"/>
      <c r="G4" s="78"/>
      <c r="H4" s="78"/>
      <c r="I4" s="78"/>
      <c r="J4" s="78"/>
      <c r="K4" s="475"/>
      <c r="L4" s="475"/>
      <c r="M4" s="79"/>
      <c r="N4" s="79"/>
      <c r="O4" s="79"/>
      <c r="P4" s="79"/>
      <c r="Q4" s="79"/>
      <c r="R4" s="475"/>
    </row>
    <row r="5" spans="1:28" ht="12" customHeight="1">
      <c r="A5" s="81" t="s">
        <v>690</v>
      </c>
      <c r="B5" s="78"/>
      <c r="C5" s="964"/>
      <c r="D5" s="964"/>
      <c r="E5" s="964"/>
      <c r="F5" s="78"/>
      <c r="G5" s="78"/>
      <c r="H5" s="78"/>
      <c r="I5" s="79"/>
      <c r="J5" s="79"/>
      <c r="K5" s="475"/>
      <c r="L5" s="475"/>
      <c r="M5" s="79"/>
      <c r="N5" s="79"/>
      <c r="O5" s="79"/>
      <c r="P5" s="79"/>
      <c r="Q5" s="79"/>
      <c r="R5" s="475"/>
    </row>
    <row r="6" spans="1:28" ht="12" customHeight="1">
      <c r="A6" s="75"/>
      <c r="B6" s="75"/>
      <c r="F6" s="75"/>
      <c r="G6" s="75"/>
      <c r="H6" s="75"/>
      <c r="I6" s="75"/>
      <c r="J6" s="75"/>
    </row>
    <row r="7" spans="1:28" s="82" customFormat="1" ht="12" customHeight="1">
      <c r="C7" s="965"/>
      <c r="D7" s="966"/>
      <c r="E7" s="966"/>
      <c r="F7" s="1505" t="s">
        <v>555</v>
      </c>
      <c r="G7" s="1506"/>
      <c r="H7" s="1506"/>
      <c r="I7" s="1506"/>
      <c r="J7" s="1507"/>
      <c r="K7" s="1500" t="s">
        <v>345</v>
      </c>
      <c r="L7" s="1501"/>
      <c r="M7" s="1501"/>
      <c r="N7" s="1501"/>
      <c r="O7" s="1501"/>
      <c r="P7" s="1502"/>
      <c r="Q7" s="1004"/>
      <c r="R7" s="1505" t="s">
        <v>89</v>
      </c>
      <c r="S7" s="1506"/>
      <c r="T7" s="1506"/>
      <c r="U7" s="1506"/>
      <c r="V7" s="1506"/>
      <c r="W7" s="1507"/>
    </row>
    <row r="8" spans="1:28" ht="12" customHeight="1">
      <c r="A8" s="74"/>
      <c r="B8" s="74"/>
      <c r="C8" s="967"/>
      <c r="D8" s="967"/>
      <c r="E8" s="967"/>
      <c r="F8" s="74"/>
      <c r="G8" s="74"/>
      <c r="H8" s="74"/>
      <c r="I8" s="74"/>
      <c r="J8" s="74"/>
      <c r="K8" s="207"/>
      <c r="L8" s="207"/>
      <c r="M8" s="83"/>
      <c r="N8" s="83"/>
      <c r="O8" s="83"/>
      <c r="P8" s="83"/>
      <c r="Q8" s="83"/>
      <c r="R8" s="207"/>
    </row>
    <row r="9" spans="1:28" s="89" customFormat="1" ht="12" customHeight="1">
      <c r="A9" s="84" t="s">
        <v>90</v>
      </c>
      <c r="B9" s="75"/>
      <c r="C9" s="968"/>
      <c r="D9" s="968"/>
      <c r="E9" s="968"/>
      <c r="F9" s="85">
        <v>2015</v>
      </c>
      <c r="G9" s="86">
        <v>2016</v>
      </c>
      <c r="H9" s="86">
        <v>2017</v>
      </c>
      <c r="I9" s="86">
        <v>2018</v>
      </c>
      <c r="J9" s="87">
        <v>2019</v>
      </c>
      <c r="K9" s="711">
        <v>2020</v>
      </c>
      <c r="L9" s="711">
        <v>2021</v>
      </c>
      <c r="M9" s="86" t="s">
        <v>498</v>
      </c>
      <c r="N9" s="86">
        <v>2022</v>
      </c>
      <c r="O9" s="86">
        <v>2023</v>
      </c>
      <c r="P9" s="87">
        <v>2024</v>
      </c>
      <c r="Q9" s="88"/>
      <c r="R9" s="931">
        <v>2020</v>
      </c>
      <c r="S9" s="712">
        <v>2021</v>
      </c>
      <c r="T9" s="86" t="s">
        <v>498</v>
      </c>
      <c r="U9" s="86">
        <v>2022</v>
      </c>
      <c r="V9" s="86">
        <v>2023</v>
      </c>
      <c r="W9" s="87">
        <v>2024</v>
      </c>
    </row>
    <row r="10" spans="1:28" ht="12" customHeight="1">
      <c r="A10" s="75"/>
      <c r="B10" s="75"/>
      <c r="F10" s="75"/>
      <c r="G10" s="75"/>
      <c r="H10" s="75"/>
      <c r="I10" s="75"/>
      <c r="J10" s="75"/>
      <c r="K10" s="1408"/>
      <c r="L10" s="1408"/>
      <c r="M10" s="1409"/>
      <c r="N10" s="1410"/>
      <c r="O10" s="1410"/>
      <c r="P10" s="1409"/>
      <c r="R10" s="1408"/>
      <c r="S10" s="90"/>
      <c r="T10" s="90"/>
      <c r="U10" s="90"/>
      <c r="V10" s="90"/>
      <c r="W10" s="90"/>
    </row>
    <row r="11" spans="1:28" ht="15.6" customHeight="1">
      <c r="A11" s="91" t="s">
        <v>91</v>
      </c>
      <c r="B11" s="969"/>
      <c r="C11" s="969"/>
      <c r="D11" s="969"/>
      <c r="E11" s="969"/>
      <c r="F11" s="91"/>
      <c r="G11" s="91"/>
      <c r="H11" s="91"/>
      <c r="I11" s="91"/>
      <c r="J11" s="91"/>
      <c r="K11" s="730"/>
      <c r="L11" s="1458">
        <f>L13/L12</f>
        <v>0.26051461759987532</v>
      </c>
      <c r="M11" s="1458">
        <f t="shared" ref="M11:N11" si="0">M13/M12</f>
        <v>0.25786930768531446</v>
      </c>
      <c r="N11" s="1458">
        <f t="shared" si="0"/>
        <v>0.2627961628226152</v>
      </c>
      <c r="O11" s="93"/>
      <c r="P11" s="92"/>
      <c r="Q11" s="92"/>
      <c r="R11" s="730"/>
      <c r="S11" s="93"/>
      <c r="T11" s="93"/>
      <c r="U11" s="94"/>
      <c r="V11" s="94"/>
      <c r="W11" s="94"/>
    </row>
    <row r="12" spans="1:28" ht="12" customHeight="1">
      <c r="A12" s="95" t="s">
        <v>92</v>
      </c>
      <c r="B12" s="102"/>
      <c r="C12" s="970"/>
      <c r="D12" s="970"/>
      <c r="E12" s="970"/>
      <c r="F12" s="98">
        <v>139470.050977078</v>
      </c>
      <c r="G12" s="99">
        <v>128025</v>
      </c>
      <c r="H12" s="99">
        <v>124995.97702771332</v>
      </c>
      <c r="I12" s="99">
        <v>136026.06417710267</v>
      </c>
      <c r="J12" s="709">
        <v>135347.65350368834</v>
      </c>
      <c r="K12" s="731">
        <v>123674.01952927277</v>
      </c>
      <c r="L12" s="732">
        <v>122246.18645161729</v>
      </c>
      <c r="M12" s="99">
        <f t="shared" ref="M12:M17" si="1">K12+L12</f>
        <v>245920.20598089008</v>
      </c>
      <c r="N12" s="630">
        <v>125325.40391166553</v>
      </c>
      <c r="O12" s="630">
        <v>128059.24317410705</v>
      </c>
      <c r="P12" s="629">
        <v>132025.3495481326</v>
      </c>
      <c r="Q12" s="97"/>
      <c r="R12" s="731">
        <v>123674.01952927277</v>
      </c>
      <c r="S12" s="99"/>
      <c r="T12" s="99"/>
      <c r="U12" s="100"/>
      <c r="V12" s="100"/>
      <c r="W12" s="101"/>
      <c r="Y12" s="561"/>
      <c r="Z12" s="561"/>
      <c r="AA12" s="561"/>
      <c r="AB12" s="561"/>
    </row>
    <row r="13" spans="1:28" ht="12" customHeight="1">
      <c r="A13" s="102" t="s">
        <v>93</v>
      </c>
      <c r="B13" s="102"/>
      <c r="C13" s="971"/>
      <c r="D13" s="971"/>
      <c r="E13" s="971"/>
      <c r="F13" s="480"/>
      <c r="G13" s="481"/>
      <c r="H13" s="481"/>
      <c r="I13" s="481"/>
      <c r="J13" s="708"/>
      <c r="K13" s="735">
        <v>31568.354745635912</v>
      </c>
      <c r="L13" s="736">
        <v>31846.918516486141</v>
      </c>
      <c r="M13" s="104">
        <f t="shared" si="1"/>
        <v>63415.273262122049</v>
      </c>
      <c r="N13" s="635">
        <v>32935.035252180074</v>
      </c>
      <c r="O13" s="635">
        <v>33736.560428989018</v>
      </c>
      <c r="P13" s="634">
        <v>34473.555686109677</v>
      </c>
      <c r="Q13" s="97"/>
      <c r="R13" s="735">
        <v>31568.354745635912</v>
      </c>
      <c r="S13" s="104"/>
      <c r="T13" s="104"/>
      <c r="U13" s="105"/>
      <c r="V13" s="105"/>
      <c r="W13" s="106"/>
      <c r="Y13" s="561"/>
      <c r="Z13" s="561"/>
      <c r="AA13" s="561"/>
      <c r="AB13" s="561"/>
    </row>
    <row r="14" spans="1:28" ht="12" customHeight="1">
      <c r="A14" s="102" t="s">
        <v>94</v>
      </c>
      <c r="B14" s="102"/>
      <c r="C14" s="970"/>
      <c r="D14" s="970"/>
      <c r="E14" s="970"/>
      <c r="F14" s="103">
        <v>50350.233325692505</v>
      </c>
      <c r="G14" s="104">
        <v>45751</v>
      </c>
      <c r="H14" s="104">
        <v>47351.703142996157</v>
      </c>
      <c r="I14" s="104">
        <v>50222.688059034226</v>
      </c>
      <c r="J14" s="431">
        <v>51164.094750290475</v>
      </c>
      <c r="K14" s="735">
        <v>40086.953413700292</v>
      </c>
      <c r="L14" s="736">
        <v>44998.042735857765</v>
      </c>
      <c r="M14" s="104">
        <f t="shared" si="1"/>
        <v>85084.99614955805</v>
      </c>
      <c r="N14" s="635">
        <v>47979.443171970946</v>
      </c>
      <c r="O14" s="635">
        <v>48890.526733183804</v>
      </c>
      <c r="P14" s="634">
        <v>51200.151638073177</v>
      </c>
      <c r="Q14" s="97"/>
      <c r="R14" s="735">
        <v>40086.953413700292</v>
      </c>
      <c r="S14" s="104"/>
      <c r="T14" s="104"/>
      <c r="U14" s="105"/>
      <c r="V14" s="105"/>
      <c r="W14" s="106"/>
      <c r="Y14" s="561"/>
      <c r="Z14" s="561"/>
      <c r="AA14" s="561"/>
      <c r="AB14" s="561"/>
    </row>
    <row r="15" spans="1:28" ht="12" customHeight="1">
      <c r="A15" s="102" t="s">
        <v>95</v>
      </c>
      <c r="B15" s="102"/>
      <c r="C15" s="970"/>
      <c r="D15" s="970"/>
      <c r="E15" s="970"/>
      <c r="F15" s="103">
        <v>12319.62</v>
      </c>
      <c r="G15" s="104">
        <v>20636</v>
      </c>
      <c r="H15" s="104">
        <v>29114.328794103934</v>
      </c>
      <c r="I15" s="104">
        <v>26849.278999999999</v>
      </c>
      <c r="J15" s="431">
        <v>12435.256202787974</v>
      </c>
      <c r="K15" s="735">
        <v>19703.893066860513</v>
      </c>
      <c r="L15" s="736">
        <v>19310.875472309213</v>
      </c>
      <c r="M15" s="104">
        <f t="shared" si="1"/>
        <v>39014.768539169731</v>
      </c>
      <c r="N15" s="635">
        <v>18775.215621736032</v>
      </c>
      <c r="O15" s="635">
        <v>18159.992413042972</v>
      </c>
      <c r="P15" s="634">
        <v>18093.564162255996</v>
      </c>
      <c r="Q15" s="97"/>
      <c r="R15" s="735">
        <v>19703.893066860513</v>
      </c>
      <c r="S15" s="104"/>
      <c r="T15" s="104"/>
      <c r="U15" s="105"/>
      <c r="V15" s="105"/>
      <c r="W15" s="106"/>
      <c r="Y15" s="561"/>
      <c r="Z15" s="561"/>
      <c r="AA15" s="561"/>
      <c r="AB15" s="561"/>
    </row>
    <row r="16" spans="1:28" ht="12" customHeight="1">
      <c r="A16" s="102" t="s">
        <v>96</v>
      </c>
      <c r="B16" s="102"/>
      <c r="C16" s="970"/>
      <c r="D16" s="970"/>
      <c r="E16" s="970"/>
      <c r="F16" s="103">
        <v>9050.0595560000002</v>
      </c>
      <c r="G16" s="104">
        <v>13492</v>
      </c>
      <c r="H16" s="104">
        <v>16363.996221955866</v>
      </c>
      <c r="I16" s="104">
        <v>16874.150000000001</v>
      </c>
      <c r="J16" s="431">
        <v>12427.590303014511</v>
      </c>
      <c r="K16" s="735">
        <v>15801.345156605295</v>
      </c>
      <c r="L16" s="736">
        <v>16333.628339456765</v>
      </c>
      <c r="M16" s="104">
        <f t="shared" si="1"/>
        <v>32134.973496062063</v>
      </c>
      <c r="N16" s="635">
        <v>16159.816266805163</v>
      </c>
      <c r="O16" s="635">
        <v>19378.203127461107</v>
      </c>
      <c r="P16" s="634">
        <v>24750.863010975416</v>
      </c>
      <c r="Q16" s="97"/>
      <c r="R16" s="735">
        <v>15801.345156605295</v>
      </c>
      <c r="S16" s="104"/>
      <c r="T16" s="104"/>
      <c r="U16" s="105"/>
      <c r="V16" s="105"/>
      <c r="W16" s="106"/>
      <c r="Y16" s="561"/>
      <c r="Z16" s="561"/>
      <c r="AA16" s="561"/>
      <c r="AB16" s="561"/>
    </row>
    <row r="17" spans="1:28" ht="12" customHeight="1">
      <c r="A17" s="102" t="s">
        <v>97</v>
      </c>
      <c r="B17" s="102"/>
      <c r="C17" s="970"/>
      <c r="D17" s="970"/>
      <c r="E17" s="970"/>
      <c r="F17" s="103"/>
      <c r="G17" s="104"/>
      <c r="H17" s="104"/>
      <c r="I17" s="104"/>
      <c r="J17" s="431"/>
      <c r="K17" s="735">
        <v>0</v>
      </c>
      <c r="L17" s="736">
        <v>0</v>
      </c>
      <c r="M17" s="104">
        <f t="shared" si="1"/>
        <v>0</v>
      </c>
      <c r="N17" s="635">
        <v>0</v>
      </c>
      <c r="O17" s="635">
        <v>0</v>
      </c>
      <c r="P17" s="634">
        <v>0</v>
      </c>
      <c r="Q17" s="97"/>
      <c r="R17" s="735">
        <v>0</v>
      </c>
      <c r="S17" s="104"/>
      <c r="T17" s="104"/>
      <c r="U17" s="105"/>
      <c r="V17" s="105"/>
      <c r="W17" s="106"/>
      <c r="Y17" s="561"/>
      <c r="Z17" s="561"/>
      <c r="AA17" s="561"/>
      <c r="AB17" s="561"/>
    </row>
    <row r="18" spans="1:28" ht="12" customHeight="1">
      <c r="A18" s="108" t="s">
        <v>98</v>
      </c>
      <c r="B18" s="432"/>
      <c r="C18" s="972"/>
      <c r="D18" s="972"/>
      <c r="E18" s="972"/>
      <c r="F18" s="109">
        <f t="shared" ref="F18:R18" si="2">F12+SUM(F14:F17)</f>
        <v>211189.9638587705</v>
      </c>
      <c r="G18" s="567">
        <f t="shared" si="2"/>
        <v>207904</v>
      </c>
      <c r="H18" s="567">
        <f t="shared" si="2"/>
        <v>217826.0051867693</v>
      </c>
      <c r="I18" s="567">
        <f t="shared" si="2"/>
        <v>229972.18123613691</v>
      </c>
      <c r="J18" s="219">
        <f t="shared" si="2"/>
        <v>211374.59475978132</v>
      </c>
      <c r="K18" s="737">
        <f t="shared" si="2"/>
        <v>199266.21116643888</v>
      </c>
      <c r="L18" s="738">
        <f t="shared" si="2"/>
        <v>202888.73299924104</v>
      </c>
      <c r="M18" s="582">
        <f t="shared" si="2"/>
        <v>402154.94416567992</v>
      </c>
      <c r="N18" s="582">
        <f t="shared" si="2"/>
        <v>208239.87897217768</v>
      </c>
      <c r="O18" s="582">
        <f t="shared" si="2"/>
        <v>214487.96544779494</v>
      </c>
      <c r="P18" s="581">
        <f t="shared" si="2"/>
        <v>226069.92835943718</v>
      </c>
      <c r="Q18" s="97"/>
      <c r="R18" s="737">
        <f t="shared" si="2"/>
        <v>199266.21116643888</v>
      </c>
      <c r="S18" s="567"/>
      <c r="T18" s="567"/>
      <c r="U18" s="131"/>
      <c r="V18" s="433"/>
      <c r="W18" s="434"/>
      <c r="Y18" s="561"/>
      <c r="Z18" s="561"/>
      <c r="AA18" s="561"/>
      <c r="AB18" s="561"/>
    </row>
    <row r="19" spans="1:28" ht="12" customHeight="1">
      <c r="A19" s="113" t="s">
        <v>99</v>
      </c>
      <c r="B19" s="114"/>
      <c r="C19" s="973"/>
      <c r="D19" s="973"/>
      <c r="E19" s="973"/>
      <c r="F19" s="115"/>
      <c r="G19" s="116">
        <f>G18/F18-1</f>
        <v>-1.5559280368871775E-2</v>
      </c>
      <c r="H19" s="116">
        <f t="shared" ref="H19:J19" si="3">H18/G18-1</f>
        <v>4.7723974463066199E-2</v>
      </c>
      <c r="I19" s="116">
        <f t="shared" si="3"/>
        <v>5.5760908983081281E-2</v>
      </c>
      <c r="J19" s="117">
        <f t="shared" si="3"/>
        <v>-8.0868852816852077E-2</v>
      </c>
      <c r="K19" s="739">
        <f>K18/J18-1</f>
        <v>-5.7284006183917824E-2</v>
      </c>
      <c r="L19" s="740">
        <f>L18/K18-1</f>
        <v>1.8179308030182861E-2</v>
      </c>
      <c r="M19" s="716"/>
      <c r="N19" s="584">
        <f>N18/L18-1</f>
        <v>2.6374781358394328E-2</v>
      </c>
      <c r="O19" s="584">
        <f t="shared" ref="O19" si="4">O18/N18-1</f>
        <v>3.0004274428396371E-2</v>
      </c>
      <c r="P19" s="583">
        <f>P18/O18-1</f>
        <v>5.3998194665430876E-2</v>
      </c>
      <c r="Q19" s="97"/>
      <c r="R19" s="739">
        <f>+R18/J18-1</f>
        <v>-5.7284006183917824E-2</v>
      </c>
      <c r="S19" s="116"/>
      <c r="T19" s="116"/>
      <c r="U19" s="116"/>
      <c r="V19" s="116"/>
      <c r="W19" s="117"/>
    </row>
    <row r="20" spans="1:28" ht="12" customHeight="1">
      <c r="A20" s="114"/>
      <c r="B20" s="114"/>
      <c r="C20" s="974"/>
      <c r="D20" s="974"/>
      <c r="E20" s="974"/>
      <c r="F20" s="114"/>
      <c r="G20" s="114"/>
      <c r="H20" s="114"/>
      <c r="I20" s="114"/>
      <c r="J20" s="114"/>
      <c r="K20" s="822"/>
      <c r="L20" s="822"/>
      <c r="M20" s="119"/>
      <c r="N20" s="585"/>
      <c r="O20" s="585"/>
      <c r="P20" s="585"/>
      <c r="Q20" s="97"/>
      <c r="R20" s="822"/>
      <c r="S20" s="114"/>
      <c r="T20" s="114"/>
      <c r="U20" s="114"/>
      <c r="V20" s="114"/>
      <c r="W20" s="114"/>
    </row>
    <row r="21" spans="1:28" ht="15.6" customHeight="1">
      <c r="A21" s="91" t="s">
        <v>100</v>
      </c>
      <c r="B21" s="91"/>
      <c r="C21" s="969"/>
      <c r="D21" s="969"/>
      <c r="E21" s="969"/>
      <c r="F21" s="91"/>
      <c r="G21" s="91"/>
      <c r="H21" s="91"/>
      <c r="I21" s="91"/>
      <c r="J21" s="91"/>
      <c r="K21" s="742"/>
      <c r="L21" s="742"/>
      <c r="M21" s="93"/>
      <c r="N21" s="586"/>
      <c r="O21" s="586"/>
      <c r="P21" s="587"/>
      <c r="Q21" s="97"/>
      <c r="R21" s="742"/>
      <c r="S21" s="93"/>
      <c r="T21" s="93"/>
      <c r="U21" s="94"/>
      <c r="V21" s="94"/>
      <c r="W21" s="94"/>
    </row>
    <row r="22" spans="1:28" ht="12" customHeight="1">
      <c r="A22" s="96" t="s">
        <v>101</v>
      </c>
      <c r="B22" s="102"/>
      <c r="C22" s="970"/>
      <c r="D22" s="970"/>
      <c r="E22" s="970"/>
      <c r="F22" s="98">
        <v>108700.713823517</v>
      </c>
      <c r="G22" s="99">
        <v>108248.98291283743</v>
      </c>
      <c r="H22" s="99">
        <v>113399.9089674626</v>
      </c>
      <c r="I22" s="99">
        <v>119725.26410649925</v>
      </c>
      <c r="J22" s="709">
        <v>109956.90249342764</v>
      </c>
      <c r="K22" s="812">
        <v>102749.1179938836</v>
      </c>
      <c r="L22" s="652">
        <v>104609.95685378787</v>
      </c>
      <c r="M22" s="564">
        <f t="shared" ref="M22:M30" si="5">K22+L22</f>
        <v>207359.07484767147</v>
      </c>
      <c r="N22" s="636">
        <v>107381.07563044911</v>
      </c>
      <c r="O22" s="636">
        <v>110622.26225647831</v>
      </c>
      <c r="P22" s="637">
        <v>116662.54888956984</v>
      </c>
      <c r="Q22" s="97"/>
      <c r="R22" s="812">
        <v>102749.1179938836</v>
      </c>
      <c r="S22" s="564"/>
      <c r="T22" s="564"/>
      <c r="U22" s="100"/>
      <c r="V22" s="123"/>
      <c r="W22" s="124"/>
      <c r="Y22" s="561"/>
      <c r="Z22" s="561"/>
      <c r="AA22" s="561"/>
      <c r="AB22" s="561"/>
    </row>
    <row r="23" spans="1:28" ht="12" customHeight="1">
      <c r="A23" s="120" t="s">
        <v>102</v>
      </c>
      <c r="B23" s="102"/>
      <c r="C23" s="970"/>
      <c r="D23" s="970"/>
      <c r="E23" s="970"/>
      <c r="F23" s="103">
        <v>4999.8991025481455</v>
      </c>
      <c r="G23" s="104">
        <v>4979.1159663492981</v>
      </c>
      <c r="H23" s="104">
        <v>5216.0425172501964</v>
      </c>
      <c r="I23" s="104">
        <v>5506.9891471226138</v>
      </c>
      <c r="J23" s="431">
        <v>5057.6749460655765</v>
      </c>
      <c r="K23" s="747">
        <v>4726.1393148016577</v>
      </c>
      <c r="L23" s="748">
        <v>4811.7321049492848</v>
      </c>
      <c r="M23" s="563">
        <f t="shared" si="5"/>
        <v>9537.8714197509435</v>
      </c>
      <c r="N23" s="632">
        <v>4939.1949353080172</v>
      </c>
      <c r="O23" s="632">
        <v>5088.2794222502589</v>
      </c>
      <c r="P23" s="633">
        <v>5366.1137889746924</v>
      </c>
      <c r="Q23" s="97"/>
      <c r="R23" s="747">
        <v>4726.1393148016577</v>
      </c>
      <c r="S23" s="563"/>
      <c r="T23" s="563"/>
      <c r="U23" s="105"/>
      <c r="V23" s="127"/>
      <c r="W23" s="128"/>
      <c r="Y23" s="561"/>
      <c r="Z23" s="561"/>
      <c r="AA23" s="561"/>
      <c r="AB23" s="561"/>
    </row>
    <row r="24" spans="1:28" ht="12" customHeight="1">
      <c r="A24" s="120" t="s">
        <v>103</v>
      </c>
      <c r="B24" s="102"/>
      <c r="C24" s="970"/>
      <c r="D24" s="970"/>
      <c r="E24" s="970"/>
      <c r="F24" s="103">
        <v>56156.851023651878</v>
      </c>
      <c r="G24" s="104">
        <v>55923.423216533105</v>
      </c>
      <c r="H24" s="104">
        <v>58584.486719936329</v>
      </c>
      <c r="I24" s="104">
        <v>61852.281972294943</v>
      </c>
      <c r="J24" s="431">
        <v>56805.766005860351</v>
      </c>
      <c r="K24" s="747">
        <v>53082.091453221517</v>
      </c>
      <c r="L24" s="748">
        <v>54043.435165651506</v>
      </c>
      <c r="M24" s="563">
        <f t="shared" si="5"/>
        <v>107125.52661887303</v>
      </c>
      <c r="N24" s="632">
        <v>55475.046289936072</v>
      </c>
      <c r="O24" s="632">
        <v>57149.503144252645</v>
      </c>
      <c r="P24" s="633">
        <v>60270.026743107497</v>
      </c>
      <c r="Q24" s="97"/>
      <c r="R24" s="747">
        <v>53082.091453221517</v>
      </c>
      <c r="S24" s="563"/>
      <c r="T24" s="563"/>
      <c r="U24" s="105"/>
      <c r="V24" s="127"/>
      <c r="W24" s="128"/>
      <c r="Y24" s="561"/>
      <c r="Z24" s="561"/>
      <c r="AA24" s="561"/>
      <c r="AB24" s="561"/>
    </row>
    <row r="25" spans="1:28" ht="12" customHeight="1">
      <c r="A25" s="120" t="s">
        <v>104</v>
      </c>
      <c r="B25" s="102"/>
      <c r="C25" s="970"/>
      <c r="D25" s="970"/>
      <c r="E25" s="970"/>
      <c r="F25" s="103">
        <v>28623.292983410782</v>
      </c>
      <c r="G25" s="104">
        <v>28504.314223173289</v>
      </c>
      <c r="H25" s="104">
        <v>29860.665210042047</v>
      </c>
      <c r="I25" s="104">
        <v>31526.268946951452</v>
      </c>
      <c r="J25" s="431">
        <v>28954.046637123574</v>
      </c>
      <c r="K25" s="747">
        <v>27056.080035503379</v>
      </c>
      <c r="L25" s="748">
        <v>27546.07942537397</v>
      </c>
      <c r="M25" s="563">
        <f t="shared" si="5"/>
        <v>54602.159460877345</v>
      </c>
      <c r="N25" s="632">
        <v>28275.775337836167</v>
      </c>
      <c r="O25" s="632">
        <v>29129.250350332815</v>
      </c>
      <c r="P25" s="633">
        <v>30719.789342521864</v>
      </c>
      <c r="Q25" s="97"/>
      <c r="R25" s="747">
        <v>27056.080035503379</v>
      </c>
      <c r="S25" s="563"/>
      <c r="T25" s="563"/>
      <c r="U25" s="105"/>
      <c r="V25" s="127"/>
      <c r="W25" s="128"/>
      <c r="Y25" s="561"/>
      <c r="Z25" s="561"/>
      <c r="AA25" s="561"/>
      <c r="AB25" s="561"/>
    </row>
    <row r="26" spans="1:28" ht="12" customHeight="1">
      <c r="A26" s="120" t="s">
        <v>105</v>
      </c>
      <c r="B26" s="102"/>
      <c r="C26" s="970"/>
      <c r="D26" s="970"/>
      <c r="E26" s="970"/>
      <c r="F26" s="103">
        <v>32.905335822276477</v>
      </c>
      <c r="G26" s="104">
        <v>32.768557846954003</v>
      </c>
      <c r="H26" s="104">
        <v>34.327818856568079</v>
      </c>
      <c r="I26" s="104">
        <v>36.242596808273618</v>
      </c>
      <c r="J26" s="431">
        <v>33.28557020188375</v>
      </c>
      <c r="K26" s="747">
        <v>31.103667915449641</v>
      </c>
      <c r="L26" s="748">
        <v>31.666971183377171</v>
      </c>
      <c r="M26" s="563">
        <f t="shared" si="5"/>
        <v>62.770639098826813</v>
      </c>
      <c r="N26" s="632">
        <v>32.505829558674066</v>
      </c>
      <c r="O26" s="632">
        <v>33.486984379623578</v>
      </c>
      <c r="P26" s="633">
        <v>35.315467905496682</v>
      </c>
      <c r="Q26" s="97"/>
      <c r="R26" s="747">
        <v>31.103667915449641</v>
      </c>
      <c r="S26" s="563"/>
      <c r="T26" s="563"/>
      <c r="U26" s="105"/>
      <c r="V26" s="127"/>
      <c r="W26" s="128"/>
      <c r="Y26" s="561"/>
      <c r="Z26" s="561"/>
      <c r="AA26" s="561"/>
      <c r="AB26" s="561"/>
    </row>
    <row r="27" spans="1:28" ht="12" customHeight="1">
      <c r="A27" s="120" t="s">
        <v>106</v>
      </c>
      <c r="B27" s="102"/>
      <c r="C27" s="970"/>
      <c r="D27" s="970"/>
      <c r="E27" s="970"/>
      <c r="F27" s="103">
        <v>8566.0015170203733</v>
      </c>
      <c r="G27" s="104">
        <v>8530.3951232599393</v>
      </c>
      <c r="H27" s="104">
        <v>8936.3059532215229</v>
      </c>
      <c r="I27" s="104">
        <v>9434.7658664603623</v>
      </c>
      <c r="J27" s="431">
        <v>8664.985107102264</v>
      </c>
      <c r="K27" s="747">
        <v>8096.9867011132937</v>
      </c>
      <c r="L27" s="748">
        <v>8243.6272542950392</v>
      </c>
      <c r="M27" s="563">
        <f t="shared" si="5"/>
        <v>16340.613955408333</v>
      </c>
      <c r="N27" s="632">
        <v>8462.0010206096777</v>
      </c>
      <c r="O27" s="632">
        <v>8717.4177630516606</v>
      </c>
      <c r="P27" s="633">
        <v>9193.413289767188</v>
      </c>
      <c r="Q27" s="97"/>
      <c r="R27" s="747">
        <v>8096.9867011132937</v>
      </c>
      <c r="S27" s="563"/>
      <c r="T27" s="563"/>
      <c r="U27" s="105"/>
      <c r="V27" s="127"/>
      <c r="W27" s="128"/>
      <c r="Y27" s="561"/>
      <c r="Z27" s="561"/>
      <c r="AA27" s="561"/>
      <c r="AB27" s="561"/>
    </row>
    <row r="28" spans="1:28" ht="12" customHeight="1">
      <c r="A28" s="120" t="s">
        <v>107</v>
      </c>
      <c r="B28" s="102"/>
      <c r="C28" s="970"/>
      <c r="D28" s="970"/>
      <c r="E28" s="970"/>
      <c r="F28" s="103">
        <v>3516.7600728000398</v>
      </c>
      <c r="G28" s="104">
        <v>1403</v>
      </c>
      <c r="H28" s="104">
        <v>1508.6379999999999</v>
      </c>
      <c r="I28" s="104">
        <v>1599.0260000000001</v>
      </c>
      <c r="J28" s="431">
        <v>1582.934</v>
      </c>
      <c r="K28" s="747">
        <v>3202.7890000000002</v>
      </c>
      <c r="L28" s="748">
        <v>3273.2503580000002</v>
      </c>
      <c r="M28" s="563">
        <f t="shared" si="5"/>
        <v>6476.039358</v>
      </c>
      <c r="N28" s="632">
        <v>3338.7153651600001</v>
      </c>
      <c r="O28" s="632">
        <v>3405.4896724632003</v>
      </c>
      <c r="P28" s="633">
        <v>3473.5994659124644</v>
      </c>
      <c r="Q28" s="97"/>
      <c r="R28" s="747">
        <v>3202.7890000000002</v>
      </c>
      <c r="S28" s="563"/>
      <c r="T28" s="563"/>
      <c r="U28" s="105"/>
      <c r="V28" s="127"/>
      <c r="W28" s="128"/>
      <c r="Y28" s="561"/>
      <c r="Z28" s="561"/>
      <c r="AA28" s="561"/>
      <c r="AB28" s="561"/>
    </row>
    <row r="29" spans="1:28" ht="12" customHeight="1">
      <c r="A29" s="120" t="s">
        <v>108</v>
      </c>
      <c r="B29" s="102"/>
      <c r="C29" s="970"/>
      <c r="D29" s="970"/>
      <c r="E29" s="970"/>
      <c r="F29" s="103">
        <v>593.54</v>
      </c>
      <c r="G29" s="104">
        <v>282</v>
      </c>
      <c r="H29" s="104">
        <v>285.63</v>
      </c>
      <c r="I29" s="104">
        <v>291.3426</v>
      </c>
      <c r="J29" s="431">
        <v>319</v>
      </c>
      <c r="K29" s="747">
        <v>321.90300000000002</v>
      </c>
      <c r="L29" s="748">
        <v>328.98486600000001</v>
      </c>
      <c r="M29" s="563">
        <f t="shared" si="5"/>
        <v>650.88786600000003</v>
      </c>
      <c r="N29" s="632">
        <v>335.56456331999999</v>
      </c>
      <c r="O29" s="632">
        <v>342.27585458639999</v>
      </c>
      <c r="P29" s="633">
        <v>349.12137167812801</v>
      </c>
      <c r="Q29" s="97"/>
      <c r="R29" s="747">
        <v>321.90300000000002</v>
      </c>
      <c r="S29" s="563"/>
      <c r="T29" s="563"/>
      <c r="U29" s="105"/>
      <c r="V29" s="127"/>
      <c r="W29" s="128"/>
      <c r="Y29" s="561"/>
      <c r="Z29" s="561"/>
      <c r="AA29" s="561"/>
      <c r="AB29" s="561"/>
    </row>
    <row r="30" spans="1:28" ht="12" customHeight="1">
      <c r="A30" s="120" t="s">
        <v>109</v>
      </c>
      <c r="B30" s="102"/>
      <c r="C30" s="970"/>
      <c r="D30" s="970"/>
      <c r="E30" s="970"/>
      <c r="F30" s="103"/>
      <c r="G30" s="104"/>
      <c r="H30" s="104"/>
      <c r="I30" s="104"/>
      <c r="J30" s="431"/>
      <c r="K30" s="747">
        <v>0</v>
      </c>
      <c r="L30" s="748">
        <v>0</v>
      </c>
      <c r="M30" s="563">
        <f t="shared" si="5"/>
        <v>0</v>
      </c>
      <c r="N30" s="632">
        <v>0</v>
      </c>
      <c r="O30" s="632">
        <v>0</v>
      </c>
      <c r="P30" s="633">
        <v>0</v>
      </c>
      <c r="Q30" s="97"/>
      <c r="R30" s="747">
        <v>0</v>
      </c>
      <c r="S30" s="563"/>
      <c r="T30" s="563"/>
      <c r="U30" s="105"/>
      <c r="V30" s="127"/>
      <c r="W30" s="128"/>
      <c r="Y30" s="561"/>
      <c r="Z30" s="561"/>
      <c r="AA30" s="561"/>
      <c r="AB30" s="561"/>
    </row>
    <row r="31" spans="1:28" s="112" customFormat="1" ht="12" customHeight="1">
      <c r="A31" s="130" t="s">
        <v>110</v>
      </c>
      <c r="B31" s="108"/>
      <c r="C31" s="989"/>
      <c r="D31" s="989"/>
      <c r="E31" s="989"/>
      <c r="F31" s="435">
        <f t="shared" ref="F31:J31" si="6">SUM(F22:F30)</f>
        <v>211189.96385877053</v>
      </c>
      <c r="G31" s="436">
        <f t="shared" si="6"/>
        <v>207904</v>
      </c>
      <c r="H31" s="436">
        <f>SUM(H22:H30)</f>
        <v>217826.00518676927</v>
      </c>
      <c r="I31" s="436">
        <f t="shared" si="6"/>
        <v>229972.18123613691</v>
      </c>
      <c r="J31" s="1030">
        <f t="shared" si="6"/>
        <v>211374.59475978126</v>
      </c>
      <c r="K31" s="737">
        <f t="shared" ref="K31:R31" si="7">SUM(K22:K30)</f>
        <v>199266.21116643885</v>
      </c>
      <c r="L31" s="738">
        <f t="shared" si="7"/>
        <v>202888.73299924107</v>
      </c>
      <c r="M31" s="582">
        <f t="shared" si="7"/>
        <v>402154.94416567992</v>
      </c>
      <c r="N31" s="582">
        <f t="shared" si="7"/>
        <v>208239.87897217768</v>
      </c>
      <c r="O31" s="582">
        <f t="shared" si="7"/>
        <v>214487.96544779491</v>
      </c>
      <c r="P31" s="581">
        <f t="shared" si="7"/>
        <v>226069.92835943718</v>
      </c>
      <c r="Q31" s="97"/>
      <c r="R31" s="737">
        <f t="shared" si="7"/>
        <v>199266.21116643885</v>
      </c>
      <c r="S31" s="567"/>
      <c r="T31" s="567"/>
      <c r="U31" s="131"/>
      <c r="V31" s="111"/>
      <c r="W31" s="132"/>
      <c r="Y31" s="561"/>
      <c r="Z31" s="561"/>
      <c r="AA31" s="561"/>
      <c r="AB31" s="561"/>
    </row>
    <row r="32" spans="1:28" ht="12" customHeight="1">
      <c r="A32" s="113" t="s">
        <v>99</v>
      </c>
      <c r="B32" s="529"/>
      <c r="C32" s="973"/>
      <c r="D32" s="973"/>
      <c r="E32" s="973"/>
      <c r="F32" s="115"/>
      <c r="G32" s="116">
        <f t="shared" ref="G32:J32" si="8">+G31/F31-1</f>
        <v>-1.5559280368871886E-2</v>
      </c>
      <c r="H32" s="116">
        <f t="shared" si="8"/>
        <v>4.7723974463065977E-2</v>
      </c>
      <c r="I32" s="116">
        <f t="shared" si="8"/>
        <v>5.5760908983081281E-2</v>
      </c>
      <c r="J32" s="117">
        <f t="shared" si="8"/>
        <v>-8.0868852816852299E-2</v>
      </c>
      <c r="K32" s="739">
        <f t="shared" ref="K32" si="9">K31/J31-1</f>
        <v>-5.7284006183917713E-2</v>
      </c>
      <c r="L32" s="740">
        <f>L31/K31-1</f>
        <v>1.8179308030183083E-2</v>
      </c>
      <c r="M32" s="716"/>
      <c r="N32" s="584">
        <f>N31/L31-1</f>
        <v>2.6374781358394328E-2</v>
      </c>
      <c r="O32" s="584">
        <f t="shared" ref="O32:P32" si="10">O31/N31-1</f>
        <v>3.0004274428396149E-2</v>
      </c>
      <c r="P32" s="583">
        <f t="shared" si="10"/>
        <v>5.3998194665431098E-2</v>
      </c>
      <c r="Q32" s="97"/>
      <c r="R32" s="739">
        <f>+R31/J31-1</f>
        <v>-5.7284006183917713E-2</v>
      </c>
      <c r="S32" s="116"/>
      <c r="T32" s="116"/>
      <c r="U32" s="116"/>
      <c r="V32" s="204"/>
      <c r="W32" s="205"/>
    </row>
    <row r="33" spans="1:28" ht="12" customHeight="1">
      <c r="A33" s="114"/>
      <c r="B33" s="133"/>
      <c r="C33" s="973"/>
      <c r="D33" s="973"/>
      <c r="E33" s="973"/>
      <c r="F33" s="133"/>
      <c r="G33" s="133"/>
      <c r="H33" s="133"/>
      <c r="I33" s="133"/>
      <c r="J33" s="133"/>
      <c r="K33" s="749"/>
      <c r="L33" s="749"/>
      <c r="M33" s="133"/>
      <c r="N33" s="592"/>
      <c r="O33" s="592"/>
      <c r="P33" s="592"/>
      <c r="Q33" s="97"/>
      <c r="R33" s="749"/>
      <c r="S33" s="133"/>
      <c r="T33" s="133"/>
      <c r="U33" s="119"/>
      <c r="V33" s="119"/>
      <c r="W33" s="119"/>
    </row>
    <row r="34" spans="1:28" ht="15.6" customHeight="1">
      <c r="A34" s="91" t="s">
        <v>111</v>
      </c>
      <c r="B34" s="91"/>
      <c r="C34" s="969"/>
      <c r="D34" s="969"/>
      <c r="E34" s="969"/>
      <c r="F34" s="91"/>
      <c r="G34" s="91"/>
      <c r="H34" s="91"/>
      <c r="I34" s="91"/>
      <c r="J34" s="91"/>
      <c r="K34" s="742"/>
      <c r="L34" s="742"/>
      <c r="M34" s="93"/>
      <c r="N34" s="586"/>
      <c r="O34" s="586"/>
      <c r="P34" s="587"/>
      <c r="Q34" s="97"/>
      <c r="R34" s="742"/>
      <c r="S34" s="93"/>
      <c r="T34" s="93"/>
      <c r="U34" s="93"/>
      <c r="V34" s="93"/>
      <c r="W34" s="93"/>
    </row>
    <row r="35" spans="1:28" ht="12" customHeight="1">
      <c r="A35" s="91" t="s">
        <v>112</v>
      </c>
      <c r="B35" s="91"/>
      <c r="C35" s="969"/>
      <c r="D35" s="969"/>
      <c r="E35" s="969"/>
      <c r="F35" s="91"/>
      <c r="G35" s="91"/>
      <c r="H35" s="91"/>
      <c r="I35" s="91"/>
      <c r="J35" s="91"/>
      <c r="K35" s="742"/>
      <c r="L35" s="742"/>
      <c r="M35" s="93"/>
      <c r="N35" s="586"/>
      <c r="O35" s="586"/>
      <c r="P35" s="586"/>
      <c r="Q35" s="97"/>
      <c r="R35" s="742"/>
      <c r="S35" s="93"/>
      <c r="T35" s="93"/>
      <c r="U35" s="93"/>
      <c r="V35" s="93"/>
      <c r="W35" s="93"/>
    </row>
    <row r="36" spans="1:28" s="83" customFormat="1" ht="12" customHeight="1">
      <c r="A36" s="134" t="s">
        <v>113</v>
      </c>
      <c r="B36" s="959"/>
      <c r="C36" s="971"/>
      <c r="D36" s="971"/>
      <c r="E36" s="971"/>
      <c r="F36" s="121">
        <v>119079.731</v>
      </c>
      <c r="G36" s="564">
        <v>177526</v>
      </c>
      <c r="H36" s="564">
        <v>215303.94736842107</v>
      </c>
      <c r="I36" s="564">
        <v>222028.28947368424</v>
      </c>
      <c r="J36" s="707">
        <v>163520.92503966461</v>
      </c>
      <c r="K36" s="731">
        <v>270108.46421547513</v>
      </c>
      <c r="L36" s="732">
        <v>279207.322041996</v>
      </c>
      <c r="M36" s="504"/>
      <c r="N36" s="732">
        <v>276236.17550094292</v>
      </c>
      <c r="O36" s="732">
        <v>331251.33551215567</v>
      </c>
      <c r="P36" s="732">
        <v>423091.67540128913</v>
      </c>
      <c r="Q36" s="97">
        <v>0</v>
      </c>
      <c r="R36" s="732">
        <v>270108.46421547513</v>
      </c>
      <c r="S36" s="564"/>
      <c r="T36" s="564"/>
      <c r="U36" s="564"/>
      <c r="V36" s="135"/>
      <c r="W36" s="136"/>
      <c r="X36" s="74"/>
      <c r="Y36" s="561"/>
      <c r="Z36" s="561"/>
      <c r="AA36" s="561"/>
      <c r="AB36" s="561"/>
    </row>
    <row r="37" spans="1:28" s="83" customFormat="1" ht="12" customHeight="1">
      <c r="A37" s="137" t="s">
        <v>114</v>
      </c>
      <c r="B37" s="959"/>
      <c r="C37" s="971"/>
      <c r="D37" s="971"/>
      <c r="E37" s="971"/>
      <c r="F37" s="125"/>
      <c r="G37" s="563"/>
      <c r="H37" s="563"/>
      <c r="I37" s="563"/>
      <c r="J37" s="706"/>
      <c r="K37" s="747">
        <v>0</v>
      </c>
      <c r="L37" s="748">
        <v>0</v>
      </c>
      <c r="M37" s="720"/>
      <c r="N37" s="632">
        <v>0</v>
      </c>
      <c r="O37" s="632">
        <v>0</v>
      </c>
      <c r="P37" s="633">
        <v>0</v>
      </c>
      <c r="Q37" s="97"/>
      <c r="R37" s="747">
        <v>0</v>
      </c>
      <c r="S37" s="563"/>
      <c r="T37" s="563"/>
      <c r="U37" s="563"/>
      <c r="V37" s="127"/>
      <c r="W37" s="128"/>
      <c r="X37" s="74"/>
      <c r="Y37" s="561"/>
      <c r="Z37" s="561"/>
      <c r="AA37" s="561"/>
      <c r="AB37" s="561"/>
    </row>
    <row r="38" spans="1:28" s="83" customFormat="1" ht="12" customHeight="1">
      <c r="A38" s="137" t="s">
        <v>115</v>
      </c>
      <c r="B38" s="959"/>
      <c r="C38" s="971"/>
      <c r="D38" s="971"/>
      <c r="E38" s="971"/>
      <c r="F38" s="125"/>
      <c r="G38" s="563"/>
      <c r="H38" s="563"/>
      <c r="I38" s="563"/>
      <c r="J38" s="706"/>
      <c r="K38" s="747">
        <v>0</v>
      </c>
      <c r="L38" s="748">
        <v>0</v>
      </c>
      <c r="M38" s="720"/>
      <c r="N38" s="632">
        <v>0</v>
      </c>
      <c r="O38" s="632">
        <v>0</v>
      </c>
      <c r="P38" s="633">
        <v>0</v>
      </c>
      <c r="Q38" s="97"/>
      <c r="R38" s="747">
        <v>0</v>
      </c>
      <c r="S38" s="563"/>
      <c r="T38" s="563"/>
      <c r="U38" s="127"/>
      <c r="V38" s="127"/>
      <c r="W38" s="128"/>
      <c r="X38" s="74"/>
      <c r="Y38" s="561"/>
      <c r="Z38" s="561"/>
      <c r="AA38" s="561"/>
      <c r="AB38" s="561"/>
    </row>
    <row r="39" spans="1:28" s="83" customFormat="1" ht="12" customHeight="1">
      <c r="A39" s="138" t="s">
        <v>116</v>
      </c>
      <c r="B39" s="959"/>
      <c r="C39" s="971"/>
      <c r="D39" s="971"/>
      <c r="E39" s="971"/>
      <c r="F39" s="175">
        <f>SUM(F36:F38)</f>
        <v>119079.731</v>
      </c>
      <c r="G39" s="176">
        <f>SUM(G36:G38)</f>
        <v>177526</v>
      </c>
      <c r="H39" s="176">
        <f>SUM(H36:H38)</f>
        <v>215303.94736842107</v>
      </c>
      <c r="I39" s="176">
        <f>SUM(I36:I38)</f>
        <v>222028.28947368424</v>
      </c>
      <c r="J39" s="220">
        <f>SUM(J36:J38)</f>
        <v>163520.92503966461</v>
      </c>
      <c r="K39" s="754">
        <f t="shared" ref="K39:L39" si="11">SUM(K36:K38)</f>
        <v>270108.46421547513</v>
      </c>
      <c r="L39" s="755">
        <f t="shared" si="11"/>
        <v>279207.322041996</v>
      </c>
      <c r="M39" s="721"/>
      <c r="N39" s="607">
        <f t="shared" ref="N39:P39" si="12">SUM(N36:N38)</f>
        <v>276236.17550094292</v>
      </c>
      <c r="O39" s="607">
        <f t="shared" si="12"/>
        <v>331251.33551215567</v>
      </c>
      <c r="P39" s="608">
        <f t="shared" si="12"/>
        <v>423091.67540128913</v>
      </c>
      <c r="Q39" s="97"/>
      <c r="R39" s="754">
        <f>SUM(R36:R38)</f>
        <v>270108.46421547513</v>
      </c>
      <c r="S39" s="139"/>
      <c r="T39" s="139"/>
      <c r="U39" s="140"/>
      <c r="V39" s="140"/>
      <c r="W39" s="141"/>
      <c r="X39" s="74"/>
      <c r="Y39" s="561"/>
      <c r="Z39" s="561"/>
      <c r="AA39" s="561"/>
      <c r="AB39" s="561"/>
    </row>
    <row r="40" spans="1:28" ht="12" customHeight="1">
      <c r="A40" s="91" t="s">
        <v>117</v>
      </c>
      <c r="B40" s="91"/>
      <c r="C40" s="969"/>
      <c r="D40" s="969"/>
      <c r="E40" s="969"/>
      <c r="F40" s="91"/>
      <c r="G40" s="91"/>
      <c r="H40" s="91"/>
      <c r="I40" s="91"/>
      <c r="J40" s="91"/>
      <c r="K40" s="756"/>
      <c r="L40" s="756"/>
      <c r="M40" s="142"/>
      <c r="N40" s="595"/>
      <c r="O40" s="595"/>
      <c r="P40" s="595"/>
      <c r="Q40" s="97"/>
      <c r="R40" s="756"/>
      <c r="S40" s="142"/>
      <c r="T40" s="142"/>
      <c r="U40" s="143"/>
      <c r="V40" s="143"/>
      <c r="W40" s="143"/>
      <c r="Y40" s="561"/>
      <c r="Z40" s="561"/>
      <c r="AA40" s="561"/>
      <c r="AB40" s="561"/>
    </row>
    <row r="41" spans="1:28" s="83" customFormat="1" ht="12" customHeight="1">
      <c r="A41" s="144" t="s">
        <v>118</v>
      </c>
      <c r="B41" s="959"/>
      <c r="C41" s="975"/>
      <c r="D41" s="975"/>
      <c r="E41" s="975"/>
      <c r="F41" s="1092">
        <f>IF(F39&gt;0,F16/F39,"")</f>
        <v>7.5999999999999998E-2</v>
      </c>
      <c r="G41" s="1093">
        <f t="shared" ref="G41:I41" si="13">IF(G39&gt;0,G16/G39,"")</f>
        <v>7.600013519146491E-2</v>
      </c>
      <c r="H41" s="1093">
        <f t="shared" si="13"/>
        <v>7.6004162589524332E-2</v>
      </c>
      <c r="I41" s="1093">
        <f t="shared" si="13"/>
        <v>7.5999999999999998E-2</v>
      </c>
      <c r="J41" s="1094">
        <f>IF(J39&gt;0,J16/J39,"")</f>
        <v>7.5999999999999998E-2</v>
      </c>
      <c r="K41" s="757">
        <v>5.8500000000000003E-2</v>
      </c>
      <c r="L41" s="758">
        <v>5.8500000000000003E-2</v>
      </c>
      <c r="M41" s="719"/>
      <c r="N41" s="645">
        <v>5.8500000000000003E-2</v>
      </c>
      <c r="O41" s="645">
        <v>5.8500000000000003E-2</v>
      </c>
      <c r="P41" s="646">
        <v>5.8500000000000003E-2</v>
      </c>
      <c r="Q41" s="97"/>
      <c r="R41" s="757">
        <f>IF(R39&gt;0,R16/R39,"")</f>
        <v>5.8500000000000003E-2</v>
      </c>
      <c r="S41" s="1093"/>
      <c r="T41" s="1093"/>
      <c r="U41" s="1095"/>
      <c r="V41" s="1095"/>
      <c r="W41" s="1096"/>
      <c r="X41" s="74"/>
    </row>
    <row r="42" spans="1:28" s="83" customFormat="1" ht="12" customHeight="1">
      <c r="A42" s="148" t="s">
        <v>119</v>
      </c>
      <c r="B42" s="959"/>
      <c r="C42" s="975"/>
      <c r="D42" s="975"/>
      <c r="E42" s="975"/>
      <c r="F42" s="1033"/>
      <c r="G42" s="440"/>
      <c r="H42" s="440"/>
      <c r="I42" s="440"/>
      <c r="J42" s="1034"/>
      <c r="K42" s="824"/>
      <c r="L42" s="825"/>
      <c r="M42" s="720"/>
      <c r="N42" s="596"/>
      <c r="O42" s="596"/>
      <c r="P42" s="597"/>
      <c r="Q42" s="97"/>
      <c r="R42" s="824"/>
      <c r="S42" s="440"/>
      <c r="T42" s="440"/>
      <c r="U42" s="441"/>
      <c r="V42" s="441"/>
      <c r="W42" s="442"/>
      <c r="X42" s="74"/>
    </row>
    <row r="43" spans="1:28" s="83" customFormat="1" ht="12" customHeight="1">
      <c r="A43" s="148" t="s">
        <v>120</v>
      </c>
      <c r="B43" s="959"/>
      <c r="C43" s="975"/>
      <c r="D43" s="975"/>
      <c r="E43" s="975"/>
      <c r="F43" s="1033"/>
      <c r="G43" s="440"/>
      <c r="H43" s="440"/>
      <c r="I43" s="440"/>
      <c r="J43" s="1034"/>
      <c r="K43" s="824"/>
      <c r="L43" s="825"/>
      <c r="M43" s="720"/>
      <c r="N43" s="596"/>
      <c r="O43" s="596"/>
      <c r="P43" s="597"/>
      <c r="Q43" s="97"/>
      <c r="R43" s="824"/>
      <c r="S43" s="440"/>
      <c r="T43" s="440"/>
      <c r="U43" s="441"/>
      <c r="V43" s="441"/>
      <c r="W43" s="442"/>
      <c r="X43" s="74"/>
    </row>
    <row r="44" spans="1:28" s="83" customFormat="1" ht="12" customHeight="1">
      <c r="A44" s="153" t="s">
        <v>121</v>
      </c>
      <c r="B44" s="959"/>
      <c r="C44" s="975"/>
      <c r="D44" s="975"/>
      <c r="E44" s="975"/>
      <c r="F44" s="444"/>
      <c r="G44" s="445"/>
      <c r="H44" s="445"/>
      <c r="I44" s="445"/>
      <c r="J44" s="1022"/>
      <c r="K44" s="826"/>
      <c r="L44" s="827"/>
      <c r="M44" s="721"/>
      <c r="N44" s="598"/>
      <c r="O44" s="598"/>
      <c r="P44" s="599"/>
      <c r="Q44" s="97"/>
      <c r="R44" s="826"/>
      <c r="S44" s="445"/>
      <c r="T44" s="445"/>
      <c r="U44" s="446"/>
      <c r="V44" s="447"/>
      <c r="W44" s="448"/>
      <c r="X44" s="74"/>
    </row>
    <row r="45" spans="1:28" s="83" customFormat="1" ht="5.65" customHeight="1">
      <c r="A45" s="93"/>
      <c r="B45" s="79"/>
      <c r="C45" s="963"/>
      <c r="D45" s="963"/>
      <c r="E45" s="963"/>
      <c r="F45" s="79"/>
      <c r="G45" s="79"/>
      <c r="H45" s="79"/>
      <c r="I45" s="79"/>
      <c r="J45" s="79"/>
      <c r="K45" s="763"/>
      <c r="L45" s="763"/>
      <c r="M45" s="159"/>
      <c r="N45" s="601"/>
      <c r="O45" s="601"/>
      <c r="P45" s="601"/>
      <c r="Q45" s="97"/>
      <c r="R45" s="763"/>
      <c r="S45" s="159"/>
      <c r="T45" s="159"/>
      <c r="U45" s="160"/>
      <c r="V45" s="161"/>
      <c r="W45" s="161"/>
      <c r="X45" s="74"/>
    </row>
    <row r="46" spans="1:28" s="451" customFormat="1" ht="12" customHeight="1">
      <c r="A46" s="162" t="s">
        <v>122</v>
      </c>
      <c r="B46" s="79"/>
      <c r="C46" s="963"/>
      <c r="D46" s="963"/>
      <c r="E46" s="963"/>
      <c r="F46" s="79"/>
      <c r="G46" s="79"/>
      <c r="H46" s="79"/>
      <c r="I46" s="79"/>
      <c r="J46" s="79"/>
      <c r="K46" s="764"/>
      <c r="L46" s="764"/>
      <c r="M46" s="118"/>
      <c r="N46" s="602"/>
      <c r="O46" s="602"/>
      <c r="P46" s="602"/>
      <c r="Q46" s="97"/>
      <c r="R46" s="764"/>
      <c r="S46" s="118"/>
      <c r="T46" s="118"/>
      <c r="U46" s="449"/>
      <c r="V46" s="449"/>
      <c r="W46" s="449"/>
      <c r="X46" s="450"/>
    </row>
    <row r="47" spans="1:28" s="450" customFormat="1" ht="12" customHeight="1">
      <c r="A47" s="163" t="s">
        <v>123</v>
      </c>
      <c r="B47" s="960"/>
      <c r="C47" s="977"/>
      <c r="D47" s="977"/>
      <c r="E47" s="977"/>
      <c r="F47" s="999"/>
      <c r="G47" s="165"/>
      <c r="H47" s="165"/>
      <c r="I47" s="165"/>
      <c r="J47" s="1000"/>
      <c r="K47" s="933">
        <v>0</v>
      </c>
      <c r="L47" s="934">
        <v>0</v>
      </c>
      <c r="M47" s="165">
        <f>K47+L47</f>
        <v>0</v>
      </c>
      <c r="N47" s="935">
        <v>0</v>
      </c>
      <c r="O47" s="935">
        <v>0</v>
      </c>
      <c r="P47" s="936">
        <v>0</v>
      </c>
      <c r="Q47" s="97"/>
      <c r="R47" s="933">
        <v>0</v>
      </c>
      <c r="S47" s="165"/>
      <c r="T47" s="165"/>
      <c r="U47" s="165"/>
      <c r="V47" s="452"/>
      <c r="W47" s="453"/>
      <c r="Y47" s="561"/>
      <c r="Z47" s="561"/>
      <c r="AA47" s="561"/>
      <c r="AB47" s="561"/>
    </row>
    <row r="48" spans="1:28" s="83" customFormat="1" ht="5.65" customHeight="1">
      <c r="A48" s="93"/>
      <c r="B48" s="79"/>
      <c r="C48" s="971"/>
      <c r="D48" s="971"/>
      <c r="E48" s="971"/>
      <c r="F48" s="107"/>
      <c r="G48" s="107"/>
      <c r="H48" s="107"/>
      <c r="I48" s="107"/>
      <c r="J48" s="107"/>
      <c r="K48" s="830"/>
      <c r="L48" s="830"/>
      <c r="M48" s="159"/>
      <c r="N48" s="603"/>
      <c r="O48" s="603"/>
      <c r="P48" s="603"/>
      <c r="Q48" s="97"/>
      <c r="R48" s="830"/>
      <c r="S48" s="454"/>
      <c r="T48" s="454"/>
      <c r="U48" s="455"/>
      <c r="V48" s="456"/>
      <c r="W48" s="456"/>
      <c r="X48" s="74"/>
    </row>
    <row r="49" spans="1:28" s="459" customFormat="1" ht="12" customHeight="1">
      <c r="A49" s="166" t="s">
        <v>124</v>
      </c>
      <c r="B49" s="75"/>
      <c r="C49" s="971"/>
      <c r="D49" s="971"/>
      <c r="E49" s="971"/>
      <c r="F49" s="457"/>
      <c r="G49" s="457"/>
      <c r="H49" s="457"/>
      <c r="I49" s="457"/>
      <c r="J49" s="457"/>
      <c r="K49" s="831"/>
      <c r="L49" s="831"/>
      <c r="M49" s="167"/>
      <c r="N49" s="604"/>
      <c r="O49" s="604"/>
      <c r="P49" s="604"/>
      <c r="Q49" s="97"/>
      <c r="R49" s="831"/>
      <c r="S49" s="457"/>
      <c r="T49" s="457"/>
      <c r="U49" s="458"/>
      <c r="V49" s="458"/>
      <c r="W49" s="458"/>
    </row>
    <row r="50" spans="1:28" s="83" customFormat="1" ht="12" customHeight="1">
      <c r="A50" s="134" t="s">
        <v>125</v>
      </c>
      <c r="B50" s="959"/>
      <c r="C50" s="971"/>
      <c r="D50" s="971"/>
      <c r="E50" s="971"/>
      <c r="F50" s="523"/>
      <c r="G50" s="504"/>
      <c r="H50" s="504"/>
      <c r="I50" s="504"/>
      <c r="J50" s="956"/>
      <c r="K50" s="1156">
        <f>+K15</f>
        <v>19703.893066860513</v>
      </c>
      <c r="L50" s="652">
        <f>+L15</f>
        <v>19310.875472309213</v>
      </c>
      <c r="M50" s="564">
        <f>K50+L50</f>
        <v>39014.768539169731</v>
      </c>
      <c r="N50" s="652">
        <f>+N15</f>
        <v>18775.215621736032</v>
      </c>
      <c r="O50" s="652">
        <f t="shared" ref="O50:R50" si="14">+O15</f>
        <v>18159.992413042972</v>
      </c>
      <c r="P50" s="1417">
        <f t="shared" si="14"/>
        <v>18093.564162255996</v>
      </c>
      <c r="Q50" s="1156"/>
      <c r="R50" s="812">
        <f t="shared" si="14"/>
        <v>19703.893066860513</v>
      </c>
      <c r="S50" s="564"/>
      <c r="T50" s="564"/>
      <c r="U50" s="564"/>
      <c r="V50" s="564"/>
      <c r="W50" s="460"/>
      <c r="X50" s="74"/>
      <c r="Y50" s="561"/>
      <c r="Z50" s="561"/>
      <c r="AA50" s="561"/>
      <c r="AB50" s="561"/>
    </row>
    <row r="51" spans="1:28" s="83" customFormat="1" ht="12" customHeight="1">
      <c r="A51" s="137" t="s">
        <v>126</v>
      </c>
      <c r="B51" s="959"/>
      <c r="C51" s="971"/>
      <c r="D51" s="971"/>
      <c r="E51" s="971"/>
      <c r="F51" s="480"/>
      <c r="G51" s="481"/>
      <c r="H51" s="481"/>
      <c r="I51" s="481"/>
      <c r="J51" s="708"/>
      <c r="K51" s="1157">
        <f>+K36*K41</f>
        <v>15801.345156605295</v>
      </c>
      <c r="L51" s="748">
        <f>+L36*L41</f>
        <v>16333.628339456767</v>
      </c>
      <c r="M51" s="563">
        <f>K51+L51</f>
        <v>32134.973496062063</v>
      </c>
      <c r="N51" s="748">
        <f>+N36*N41</f>
        <v>16159.816266805161</v>
      </c>
      <c r="O51" s="748">
        <f t="shared" ref="O51:R51" si="15">+O36*O41</f>
        <v>19378.203127461107</v>
      </c>
      <c r="P51" s="1416">
        <f t="shared" si="15"/>
        <v>24750.863010975416</v>
      </c>
      <c r="Q51" s="1157"/>
      <c r="R51" s="747">
        <f t="shared" si="15"/>
        <v>15801.345156605295</v>
      </c>
      <c r="S51" s="563"/>
      <c r="T51" s="563"/>
      <c r="U51" s="563"/>
      <c r="V51" s="563"/>
      <c r="W51" s="461"/>
      <c r="X51" s="74"/>
      <c r="Y51" s="561"/>
      <c r="Z51" s="561"/>
      <c r="AA51" s="561"/>
      <c r="AB51" s="561"/>
    </row>
    <row r="52" spans="1:28" s="83" customFormat="1" ht="12" customHeight="1">
      <c r="A52" s="153" t="s">
        <v>127</v>
      </c>
      <c r="B52" s="959"/>
      <c r="C52" s="971"/>
      <c r="D52" s="971"/>
      <c r="E52" s="971"/>
      <c r="F52" s="1007"/>
      <c r="G52" s="1008"/>
      <c r="H52" s="1008"/>
      <c r="I52" s="1008"/>
      <c r="J52" s="1023"/>
      <c r="K52" s="1158">
        <v>0</v>
      </c>
      <c r="L52" s="817">
        <v>0</v>
      </c>
      <c r="M52" s="139">
        <f>K52+L52</f>
        <v>0</v>
      </c>
      <c r="N52" s="817">
        <v>0</v>
      </c>
      <c r="O52" s="817">
        <v>0</v>
      </c>
      <c r="P52" s="1422">
        <v>0</v>
      </c>
      <c r="Q52" s="1158"/>
      <c r="R52" s="816">
        <v>0</v>
      </c>
      <c r="S52" s="139"/>
      <c r="T52" s="139"/>
      <c r="U52" s="139"/>
      <c r="V52" s="139"/>
      <c r="W52" s="168"/>
      <c r="X52" s="74"/>
      <c r="Y52" s="561"/>
      <c r="Z52" s="561"/>
      <c r="AA52" s="561"/>
      <c r="AB52" s="561"/>
    </row>
    <row r="53" spans="1:28" s="83" customFormat="1" ht="5.65" customHeight="1">
      <c r="A53" s="93"/>
      <c r="B53" s="79"/>
      <c r="C53" s="963"/>
      <c r="D53" s="963"/>
      <c r="E53" s="963"/>
      <c r="F53" s="79"/>
      <c r="G53" s="79"/>
      <c r="H53" s="79"/>
      <c r="I53" s="79"/>
      <c r="J53" s="79"/>
      <c r="K53" s="763"/>
      <c r="L53" s="763"/>
      <c r="M53" s="159"/>
      <c r="N53" s="601"/>
      <c r="O53" s="601"/>
      <c r="P53" s="601"/>
      <c r="Q53" s="97"/>
      <c r="R53" s="763"/>
      <c r="S53" s="159"/>
      <c r="T53" s="159"/>
      <c r="U53" s="160"/>
      <c r="V53" s="161"/>
      <c r="W53" s="161"/>
      <c r="X53" s="74"/>
    </row>
    <row r="54" spans="1:28" s="459" customFormat="1" ht="12" customHeight="1">
      <c r="A54" s="166" t="s">
        <v>128</v>
      </c>
      <c r="B54" s="75"/>
      <c r="C54" s="963"/>
      <c r="D54" s="963"/>
      <c r="E54" s="963"/>
      <c r="F54" s="75"/>
      <c r="G54" s="75"/>
      <c r="H54" s="75"/>
      <c r="I54" s="75"/>
      <c r="J54" s="75"/>
      <c r="K54" s="765"/>
      <c r="L54" s="765"/>
      <c r="M54" s="167"/>
      <c r="N54" s="605"/>
      <c r="O54" s="605"/>
      <c r="P54" s="605"/>
      <c r="Q54" s="97"/>
      <c r="R54" s="765"/>
      <c r="S54" s="167"/>
      <c r="T54" s="167"/>
      <c r="U54" s="462"/>
      <c r="V54" s="462"/>
      <c r="W54" s="462"/>
    </row>
    <row r="55" spans="1:28" s="463" customFormat="1" ht="12" customHeight="1">
      <c r="A55" s="169" t="s">
        <v>129</v>
      </c>
      <c r="B55" s="960"/>
      <c r="C55" s="976"/>
      <c r="D55" s="976"/>
      <c r="E55" s="976"/>
      <c r="F55" s="1001"/>
      <c r="G55" s="509"/>
      <c r="H55" s="509"/>
      <c r="I55" s="509"/>
      <c r="J55" s="1029"/>
      <c r="K55" s="1019"/>
      <c r="L55" s="1020"/>
      <c r="M55" s="509"/>
      <c r="N55" s="1021"/>
      <c r="O55" s="1021"/>
      <c r="P55" s="1018"/>
      <c r="Q55" s="97"/>
      <c r="R55" s="1019"/>
      <c r="S55" s="509"/>
      <c r="T55" s="509"/>
      <c r="U55" s="511"/>
      <c r="V55" s="511"/>
      <c r="W55" s="512"/>
      <c r="Y55" s="561"/>
      <c r="Z55" s="561"/>
      <c r="AA55" s="561"/>
      <c r="AB55" s="561"/>
    </row>
    <row r="56" spans="1:28" s="83" customFormat="1" ht="12" customHeight="1">
      <c r="A56" s="137" t="s">
        <v>130</v>
      </c>
      <c r="B56" s="959"/>
      <c r="C56" s="971"/>
      <c r="D56" s="971"/>
      <c r="E56" s="971"/>
      <c r="F56" s="480"/>
      <c r="G56" s="481"/>
      <c r="H56" s="481"/>
      <c r="I56" s="481"/>
      <c r="J56" s="708"/>
      <c r="K56" s="745"/>
      <c r="L56" s="746"/>
      <c r="M56" s="481"/>
      <c r="N56" s="653"/>
      <c r="O56" s="653"/>
      <c r="P56" s="578"/>
      <c r="Q56" s="97"/>
      <c r="R56" s="745"/>
      <c r="S56" s="481"/>
      <c r="T56" s="481"/>
      <c r="U56" s="513"/>
      <c r="V56" s="513"/>
      <c r="W56" s="514"/>
      <c r="X56" s="74"/>
      <c r="Y56" s="561"/>
      <c r="Z56" s="561"/>
      <c r="AA56" s="561"/>
      <c r="AB56" s="561"/>
    </row>
    <row r="57" spans="1:28" s="83" customFormat="1" ht="12" customHeight="1">
      <c r="A57" s="153" t="s">
        <v>131</v>
      </c>
      <c r="B57" s="959"/>
      <c r="C57" s="971"/>
      <c r="D57" s="971"/>
      <c r="E57" s="971"/>
      <c r="F57" s="1007"/>
      <c r="G57" s="1008"/>
      <c r="H57" s="1008"/>
      <c r="I57" s="1008"/>
      <c r="J57" s="1023"/>
      <c r="K57" s="1014"/>
      <c r="L57" s="1015"/>
      <c r="M57" s="1008"/>
      <c r="N57" s="932"/>
      <c r="O57" s="932"/>
      <c r="P57" s="1009"/>
      <c r="Q57" s="97"/>
      <c r="R57" s="1014"/>
      <c r="S57" s="1008"/>
      <c r="T57" s="1008"/>
      <c r="U57" s="1008"/>
      <c r="V57" s="447"/>
      <c r="W57" s="448"/>
      <c r="X57" s="74"/>
      <c r="Y57" s="561"/>
      <c r="Z57" s="561"/>
      <c r="AA57" s="561"/>
      <c r="AB57" s="561"/>
    </row>
    <row r="58" spans="1:28" ht="12" customHeight="1">
      <c r="A58" s="170"/>
      <c r="B58" s="171"/>
      <c r="C58" s="992"/>
      <c r="D58" s="992"/>
      <c r="E58" s="992"/>
      <c r="F58" s="464"/>
      <c r="G58" s="464"/>
      <c r="H58" s="464"/>
      <c r="I58" s="464"/>
      <c r="J58" s="464"/>
      <c r="K58" s="833"/>
      <c r="L58" s="833"/>
      <c r="M58" s="172"/>
      <c r="N58" s="606"/>
      <c r="O58" s="606"/>
      <c r="P58" s="606"/>
      <c r="Q58" s="97"/>
      <c r="R58" s="833"/>
      <c r="S58" s="465"/>
      <c r="T58" s="465"/>
      <c r="U58" s="466"/>
      <c r="V58" s="467"/>
      <c r="W58" s="467"/>
    </row>
    <row r="59" spans="1:28" ht="15.6" customHeight="1">
      <c r="A59" s="91" t="s">
        <v>132</v>
      </c>
      <c r="B59" s="91"/>
      <c r="C59" s="993"/>
      <c r="D59" s="993"/>
      <c r="E59" s="993"/>
      <c r="F59" s="216"/>
      <c r="G59" s="216"/>
      <c r="H59" s="216"/>
      <c r="I59" s="216"/>
      <c r="J59" s="216"/>
      <c r="K59" s="834"/>
      <c r="L59" s="834"/>
      <c r="M59" s="93"/>
      <c r="N59" s="587"/>
      <c r="O59" s="587"/>
      <c r="P59" s="587"/>
      <c r="Q59" s="97"/>
      <c r="R59" s="834"/>
      <c r="S59" s="92"/>
      <c r="T59" s="92"/>
      <c r="U59" s="94"/>
      <c r="V59" s="94"/>
      <c r="W59" s="94"/>
    </row>
    <row r="60" spans="1:28" ht="12" customHeight="1">
      <c r="A60" s="173" t="s">
        <v>133</v>
      </c>
      <c r="B60" s="959"/>
      <c r="C60" s="971"/>
      <c r="D60" s="971"/>
      <c r="E60" s="971"/>
      <c r="F60" s="121">
        <v>527.97490964692633</v>
      </c>
      <c r="G60" s="564">
        <v>519.76</v>
      </c>
      <c r="H60" s="564">
        <v>539.08120312068252</v>
      </c>
      <c r="I60" s="564">
        <v>574.93045309034233</v>
      </c>
      <c r="J60" s="707">
        <v>528.43648689945314</v>
      </c>
      <c r="K60" s="812">
        <f>K31*0.25%</f>
        <v>498.16552791609712</v>
      </c>
      <c r="L60" s="812">
        <f>L31*0.25%</f>
        <v>507.22183249810269</v>
      </c>
      <c r="M60" s="564">
        <f>K60+L60</f>
        <v>1005.3873604141997</v>
      </c>
      <c r="N60" s="812">
        <f>N31*0.25%</f>
        <v>520.59969743044417</v>
      </c>
      <c r="O60" s="812">
        <f>O31*0.25%</f>
        <v>536.21991361948733</v>
      </c>
      <c r="P60" s="812">
        <f>P31*0.25%</f>
        <v>565.174820898593</v>
      </c>
      <c r="Q60" s="97"/>
      <c r="R60" s="812">
        <f>R31*0.25%</f>
        <v>498.16552791609712</v>
      </c>
      <c r="S60" s="564"/>
      <c r="T60" s="564"/>
      <c r="U60" s="100"/>
      <c r="V60" s="123"/>
      <c r="W60" s="124"/>
      <c r="Y60" s="561"/>
      <c r="Z60" s="561"/>
      <c r="AA60" s="561"/>
      <c r="AB60" s="561"/>
    </row>
    <row r="61" spans="1:28" s="112" customFormat="1" ht="12" customHeight="1">
      <c r="A61" s="174" t="s">
        <v>134</v>
      </c>
      <c r="B61" s="961"/>
      <c r="C61" s="972"/>
      <c r="D61" s="972"/>
      <c r="E61" s="972"/>
      <c r="F61" s="175">
        <f t="shared" ref="F61:R61" si="16">F18-F60</f>
        <v>210661.98894912357</v>
      </c>
      <c r="G61" s="176">
        <f t="shared" si="16"/>
        <v>207384.24</v>
      </c>
      <c r="H61" s="176">
        <f t="shared" si="16"/>
        <v>217286.92398364862</v>
      </c>
      <c r="I61" s="176">
        <f t="shared" si="16"/>
        <v>229397.25078304656</v>
      </c>
      <c r="J61" s="220">
        <f t="shared" si="16"/>
        <v>210846.15827288188</v>
      </c>
      <c r="K61" s="754">
        <f t="shared" si="16"/>
        <v>198768.04563852277</v>
      </c>
      <c r="L61" s="755">
        <f t="shared" si="16"/>
        <v>202381.51116674294</v>
      </c>
      <c r="M61" s="607">
        <f>M18-M60</f>
        <v>401149.55680526572</v>
      </c>
      <c r="N61" s="607">
        <f t="shared" si="16"/>
        <v>207719.27927474724</v>
      </c>
      <c r="O61" s="607">
        <f t="shared" si="16"/>
        <v>213951.74553417545</v>
      </c>
      <c r="P61" s="608">
        <f t="shared" si="16"/>
        <v>225504.75353853859</v>
      </c>
      <c r="Q61" s="97"/>
      <c r="R61" s="754">
        <f t="shared" si="16"/>
        <v>198768.04563852277</v>
      </c>
      <c r="S61" s="176"/>
      <c r="T61" s="176"/>
      <c r="U61" s="468"/>
      <c r="V61" s="177"/>
      <c r="W61" s="178"/>
      <c r="Y61" s="561"/>
      <c r="Z61" s="561"/>
      <c r="AA61" s="561"/>
      <c r="AB61" s="561"/>
    </row>
    <row r="62" spans="1:28" s="179" customFormat="1" ht="12" customHeight="1">
      <c r="A62" s="93"/>
      <c r="B62" s="79"/>
      <c r="C62" s="963"/>
      <c r="D62" s="963"/>
      <c r="E62" s="963"/>
      <c r="F62" s="79"/>
      <c r="G62" s="79"/>
      <c r="H62" s="79"/>
      <c r="I62" s="79"/>
      <c r="J62" s="79"/>
      <c r="K62" s="835"/>
      <c r="L62" s="835"/>
      <c r="M62" s="217"/>
      <c r="N62" s="600"/>
      <c r="O62" s="600"/>
      <c r="P62" s="600"/>
      <c r="Q62" s="97"/>
      <c r="R62" s="835"/>
      <c r="S62" s="217"/>
      <c r="T62" s="217"/>
      <c r="U62" s="218"/>
      <c r="V62" s="218"/>
      <c r="W62" s="218"/>
      <c r="X62" s="74"/>
    </row>
    <row r="63" spans="1:28" ht="15.6" customHeight="1">
      <c r="A63" s="91" t="s">
        <v>135</v>
      </c>
      <c r="B63" s="91"/>
      <c r="C63" s="969"/>
      <c r="D63" s="969"/>
      <c r="E63" s="969"/>
      <c r="F63" s="91"/>
      <c r="G63" s="91"/>
      <c r="H63" s="91"/>
      <c r="I63" s="91"/>
      <c r="J63" s="91"/>
      <c r="K63" s="742"/>
      <c r="L63" s="742"/>
      <c r="M63" s="93"/>
      <c r="N63" s="586"/>
      <c r="O63" s="586"/>
      <c r="P63" s="587"/>
      <c r="Q63" s="97"/>
      <c r="R63" s="742"/>
      <c r="S63" s="93"/>
      <c r="T63" s="93"/>
      <c r="U63" s="94"/>
      <c r="V63" s="94"/>
      <c r="W63" s="94"/>
    </row>
    <row r="64" spans="1:28" s="184" customFormat="1" ht="12" customHeight="1">
      <c r="A64" s="134" t="s">
        <v>136</v>
      </c>
      <c r="B64" s="79"/>
      <c r="C64" s="979"/>
      <c r="D64" s="979"/>
      <c r="E64" s="979"/>
      <c r="F64" s="180">
        <f>'T1'!F64</f>
        <v>0.02</v>
      </c>
      <c r="G64" s="181">
        <f>'T1'!G64</f>
        <v>3.9E-2</v>
      </c>
      <c r="H64" s="181">
        <f>'T1'!H64</f>
        <v>1.9E-2</v>
      </c>
      <c r="I64" s="181">
        <f>'T1'!I64</f>
        <v>0.03</v>
      </c>
      <c r="J64" s="927">
        <f>'T1'!J64</f>
        <v>2.3E-2</v>
      </c>
      <c r="K64" s="1046">
        <f>'T1'!K64</f>
        <v>1.2E-2</v>
      </c>
      <c r="L64" s="1036">
        <f>'T1'!L64</f>
        <v>2.1999999999999999E-2</v>
      </c>
      <c r="M64" s="533"/>
      <c r="N64" s="181">
        <f>'T1'!N64</f>
        <v>0.02</v>
      </c>
      <c r="O64" s="181">
        <f>'T1'!O64</f>
        <v>0.02</v>
      </c>
      <c r="P64" s="927">
        <f>'T1'!P64</f>
        <v>0.02</v>
      </c>
      <c r="Q64" s="97"/>
      <c r="R64" s="1035">
        <f>'T1'!R64</f>
        <v>1.2E-2</v>
      </c>
      <c r="S64" s="1036"/>
      <c r="T64" s="1036"/>
      <c r="U64" s="181"/>
      <c r="V64" s="181"/>
      <c r="W64" s="927"/>
      <c r="X64" s="74"/>
      <c r="Y64" s="561"/>
      <c r="Z64" s="561"/>
      <c r="AA64" s="561"/>
      <c r="AB64" s="561"/>
    </row>
    <row r="65" spans="1:28" s="179" customFormat="1" ht="12" customHeight="1">
      <c r="A65" s="137" t="s">
        <v>137</v>
      </c>
      <c r="B65" s="79"/>
      <c r="C65" s="980"/>
      <c r="D65" s="980"/>
      <c r="E65" s="980"/>
      <c r="F65" s="185">
        <f>'T1'!F65</f>
        <v>94.45180643802405</v>
      </c>
      <c r="G65" s="570">
        <f>'T1'!G65</f>
        <v>98.135426889106981</v>
      </c>
      <c r="H65" s="570">
        <f>'T1'!H65</f>
        <v>100</v>
      </c>
      <c r="I65" s="570">
        <f>'T1'!I65</f>
        <v>103</v>
      </c>
      <c r="J65" s="928">
        <f>'T1'!J65</f>
        <v>105.36899999999999</v>
      </c>
      <c r="K65" s="1037">
        <f>'T1'!K65</f>
        <v>106.63342799999998</v>
      </c>
      <c r="L65" s="1038">
        <f>'T1'!L65</f>
        <v>108.97936341599998</v>
      </c>
      <c r="M65" s="536"/>
      <c r="N65" s="570">
        <f>'T1'!N65</f>
        <v>111.15895068431999</v>
      </c>
      <c r="O65" s="570">
        <f>'T1'!O65</f>
        <v>113.38212969800639</v>
      </c>
      <c r="P65" s="928">
        <f>'T1'!P65</f>
        <v>115.64977229196653</v>
      </c>
      <c r="Q65" s="97"/>
      <c r="R65" s="1037">
        <f>'T1'!R65</f>
        <v>106.63342799999998</v>
      </c>
      <c r="S65" s="1038"/>
      <c r="T65" s="1038"/>
      <c r="U65" s="570"/>
      <c r="V65" s="570"/>
      <c r="W65" s="928"/>
      <c r="X65" s="74"/>
      <c r="Y65" s="561"/>
      <c r="Z65" s="561"/>
      <c r="AA65" s="561"/>
      <c r="AB65" s="561"/>
    </row>
    <row r="66" spans="1:28" s="179" customFormat="1" ht="12" customHeight="1">
      <c r="A66" s="188" t="s">
        <v>138</v>
      </c>
      <c r="B66" s="189"/>
      <c r="C66" s="972"/>
      <c r="D66" s="972"/>
      <c r="E66" s="972"/>
      <c r="F66" s="109">
        <f t="shared" ref="F66:L66" si="17">((F61-F15-F16-F29-F30+F79+F80)/(F65/100))+F15+F16+F29+F30-F79-F80</f>
        <v>221746.34336204498</v>
      </c>
      <c r="G66" s="567">
        <f t="shared" si="17"/>
        <v>210670.75055999996</v>
      </c>
      <c r="H66" s="131">
        <f t="shared" si="17"/>
        <v>217286.92398364862</v>
      </c>
      <c r="I66" s="567">
        <f t="shared" si="17"/>
        <v>223997.76109810345</v>
      </c>
      <c r="J66" s="219">
        <f t="shared" si="17"/>
        <v>201385.76963981669</v>
      </c>
      <c r="K66" s="1047">
        <f t="shared" si="17"/>
        <v>188631.85497144455</v>
      </c>
      <c r="L66" s="1041">
        <f t="shared" si="17"/>
        <v>188670.30876631633</v>
      </c>
      <c r="M66" s="131">
        <f>K66+L66</f>
        <v>377302.16373776086</v>
      </c>
      <c r="N66" s="131">
        <f t="shared" ref="N66:P66" si="18">((N61-N15-N16-N29-N30+N79+N80)/(N65/100))+N15+N16+N29+N30-N79-N80</f>
        <v>190407.61579331095</v>
      </c>
      <c r="O66" s="131">
        <f t="shared" si="18"/>
        <v>193170.61685985755</v>
      </c>
      <c r="P66" s="1048">
        <f t="shared" si="18"/>
        <v>200834.33017426782</v>
      </c>
      <c r="Q66" s="97"/>
      <c r="R66" s="1049">
        <f t="shared" ref="R66" si="19">((R61-R15-R16-R29-R30+R79+R80)/(R65/100))+R15+R16+R29+R30-R79-R80</f>
        <v>188631.85497144455</v>
      </c>
      <c r="S66" s="1041"/>
      <c r="T66" s="1041"/>
      <c r="U66" s="131"/>
      <c r="V66" s="131"/>
      <c r="W66" s="1048"/>
      <c r="X66" s="74"/>
      <c r="Y66" s="561"/>
      <c r="Z66" s="561"/>
      <c r="AA66" s="561"/>
      <c r="AB66" s="561"/>
    </row>
    <row r="67" spans="1:28" s="179" customFormat="1" ht="12" customHeight="1">
      <c r="A67" s="192" t="s">
        <v>99</v>
      </c>
      <c r="B67" s="79"/>
      <c r="C67" s="981"/>
      <c r="D67" s="981"/>
      <c r="E67" s="981"/>
      <c r="F67" s="1002"/>
      <c r="G67" s="193">
        <f t="shared" ref="G67:L67" si="20">G66/F66-1</f>
        <v>-4.994712712787297E-2</v>
      </c>
      <c r="H67" s="571">
        <f t="shared" si="20"/>
        <v>3.1405277695464084E-2</v>
      </c>
      <c r="I67" s="571">
        <f t="shared" si="20"/>
        <v>3.0884679995561326E-2</v>
      </c>
      <c r="J67" s="929">
        <f t="shared" si="20"/>
        <v>-0.1009473994179052</v>
      </c>
      <c r="K67" s="1050">
        <f t="shared" si="20"/>
        <v>-6.3330764091141134E-2</v>
      </c>
      <c r="L67" s="1042">
        <f t="shared" si="20"/>
        <v>2.0385631513608615E-4</v>
      </c>
      <c r="M67" s="718"/>
      <c r="N67" s="571">
        <f>N66/L66-1</f>
        <v>9.2081633742722158E-3</v>
      </c>
      <c r="O67" s="571">
        <f t="shared" ref="O67:P67" si="21">O66/N66-1</f>
        <v>1.4510979800019363E-2</v>
      </c>
      <c r="P67" s="1051">
        <f t="shared" si="21"/>
        <v>3.9673286957354392E-2</v>
      </c>
      <c r="Q67" s="97"/>
      <c r="R67" s="1052">
        <f>+R66/J66-1</f>
        <v>-6.3330764091141134E-2</v>
      </c>
      <c r="S67" s="1042"/>
      <c r="T67" s="1042"/>
      <c r="U67" s="571"/>
      <c r="V67" s="571"/>
      <c r="W67" s="1051"/>
      <c r="X67" s="74"/>
      <c r="Y67" s="561"/>
      <c r="Z67" s="561"/>
      <c r="AA67" s="561"/>
      <c r="AB67" s="561"/>
    </row>
    <row r="68" spans="1:28" s="179" customFormat="1" ht="12" customHeight="1">
      <c r="A68" s="196" t="s">
        <v>139</v>
      </c>
      <c r="B68" s="197"/>
      <c r="C68" s="982"/>
      <c r="D68" s="982"/>
      <c r="E68" s="982"/>
      <c r="F68" s="198">
        <f>'T1'!F68</f>
        <v>246.09299999999999</v>
      </c>
      <c r="G68" s="111">
        <f>'T1'!G68</f>
        <v>245.18199999999999</v>
      </c>
      <c r="H68" s="572">
        <f>'T1'!H68</f>
        <v>249.824836137597</v>
      </c>
      <c r="I68" s="572">
        <f>'T1'!I68</f>
        <v>256.3</v>
      </c>
      <c r="J68" s="930">
        <f>'T1'!J68</f>
        <v>256.00565702730603</v>
      </c>
      <c r="K68" s="1053">
        <f>'T1'!K68</f>
        <v>134.32968502803001</v>
      </c>
      <c r="L68" s="1043">
        <f>'T1'!L68</f>
        <v>139.24003148171201</v>
      </c>
      <c r="M68" s="111">
        <f>K68+L68</f>
        <v>273.56971650974202</v>
      </c>
      <c r="N68" s="572">
        <f>'T1'!N68</f>
        <v>204.80311130053201</v>
      </c>
      <c r="O68" s="572">
        <f>'T1'!O68</f>
        <v>240.42251109710699</v>
      </c>
      <c r="P68" s="930">
        <f>'T1'!P68</f>
        <v>258.33819951035298</v>
      </c>
      <c r="Q68" s="97"/>
      <c r="R68" s="1054">
        <f>'T1'!R68</f>
        <v>134.32968502803001</v>
      </c>
      <c r="S68" s="1043"/>
      <c r="T68" s="1043"/>
      <c r="U68" s="572"/>
      <c r="V68" s="572"/>
      <c r="W68" s="930"/>
      <c r="X68" s="74"/>
      <c r="Y68" s="561"/>
      <c r="Z68" s="561"/>
      <c r="AA68" s="561"/>
      <c r="AB68" s="561"/>
    </row>
    <row r="69" spans="1:28" s="179" customFormat="1" ht="12" customHeight="1">
      <c r="A69" s="192" t="s">
        <v>99</v>
      </c>
      <c r="B69" s="197"/>
      <c r="C69" s="981"/>
      <c r="D69" s="981"/>
      <c r="E69" s="981"/>
      <c r="F69" s="1002"/>
      <c r="G69" s="193">
        <f t="shared" ref="G69:L69" si="22">G68/F68-1</f>
        <v>-3.7018525516776535E-3</v>
      </c>
      <c r="H69" s="571">
        <f t="shared" si="22"/>
        <v>1.8936284627733668E-2</v>
      </c>
      <c r="I69" s="571">
        <f t="shared" si="22"/>
        <v>2.5918815609015988E-2</v>
      </c>
      <c r="J69" s="929">
        <f t="shared" si="22"/>
        <v>-1.14843141901666E-3</v>
      </c>
      <c r="K69" s="1050">
        <f t="shared" si="22"/>
        <v>-0.47528626285901887</v>
      </c>
      <c r="L69" s="1042">
        <f t="shared" si="22"/>
        <v>3.6554440313452563E-2</v>
      </c>
      <c r="M69" s="718"/>
      <c r="N69" s="571">
        <f>N68/L68-1</f>
        <v>0.47086372447015101</v>
      </c>
      <c r="O69" s="571">
        <f t="shared" ref="O69:P69" si="23">O68/N68-1</f>
        <v>0.17392020839129918</v>
      </c>
      <c r="P69" s="1051">
        <f t="shared" si="23"/>
        <v>7.4517516398494799E-2</v>
      </c>
      <c r="Q69" s="97"/>
      <c r="R69" s="1052">
        <f>+R68/J68-1</f>
        <v>-0.47528626285901887</v>
      </c>
      <c r="S69" s="1042"/>
      <c r="T69" s="1042"/>
      <c r="U69" s="571"/>
      <c r="V69" s="571"/>
      <c r="W69" s="1051"/>
      <c r="X69" s="74"/>
      <c r="Y69" s="561"/>
      <c r="Z69" s="561"/>
      <c r="AA69" s="561"/>
      <c r="AB69" s="561"/>
    </row>
    <row r="70" spans="1:28" s="179" customFormat="1" ht="12" customHeight="1">
      <c r="A70" s="196" t="s">
        <v>140</v>
      </c>
      <c r="B70" s="197"/>
      <c r="C70" s="983"/>
      <c r="D70" s="983"/>
      <c r="E70" s="983"/>
      <c r="F70" s="199">
        <f t="shared" ref="F70:R70" si="24">F66/F68</f>
        <v>901.0672524697776</v>
      </c>
      <c r="G70" s="200">
        <f t="shared" si="24"/>
        <v>859.24232023558</v>
      </c>
      <c r="H70" s="573">
        <f t="shared" si="24"/>
        <v>869.75709598373419</v>
      </c>
      <c r="I70" s="573">
        <f t="shared" si="24"/>
        <v>873.96707412447699</v>
      </c>
      <c r="J70" s="1027">
        <f t="shared" si="24"/>
        <v>786.64577954360016</v>
      </c>
      <c r="K70" s="1055">
        <f t="shared" si="24"/>
        <v>1404.2454944495964</v>
      </c>
      <c r="L70" s="1044">
        <f t="shared" si="24"/>
        <v>1355.0004747815399</v>
      </c>
      <c r="M70" s="200">
        <f t="shared" si="24"/>
        <v>1379.1810312612758</v>
      </c>
      <c r="N70" s="573">
        <f t="shared" si="24"/>
        <v>929.71056242355212</v>
      </c>
      <c r="O70" s="573">
        <f t="shared" si="24"/>
        <v>803.46310326089088</v>
      </c>
      <c r="P70" s="1056">
        <f t="shared" si="24"/>
        <v>777.40856967697232</v>
      </c>
      <c r="Q70" s="97"/>
      <c r="R70" s="1057">
        <f t="shared" si="24"/>
        <v>1404.2454944495964</v>
      </c>
      <c r="S70" s="1044"/>
      <c r="T70" s="1044"/>
      <c r="U70" s="573"/>
      <c r="V70" s="573"/>
      <c r="W70" s="1056"/>
      <c r="X70" s="74"/>
      <c r="Y70" s="561"/>
      <c r="Z70" s="561"/>
      <c r="AA70" s="561"/>
      <c r="AB70" s="561"/>
    </row>
    <row r="71" spans="1:28" ht="12" customHeight="1">
      <c r="A71" s="203" t="s">
        <v>99</v>
      </c>
      <c r="B71" s="197"/>
      <c r="C71" s="981"/>
      <c r="D71" s="981"/>
      <c r="E71" s="981"/>
      <c r="F71" s="1003"/>
      <c r="G71" s="204">
        <f t="shared" ref="G71:J71" si="25">+G70/F70-1</f>
        <v>-4.6417103850525776E-2</v>
      </c>
      <c r="H71" s="569">
        <f t="shared" si="25"/>
        <v>1.2237264739557219E-2</v>
      </c>
      <c r="I71" s="569">
        <f t="shared" si="25"/>
        <v>4.840406775849404E-3</v>
      </c>
      <c r="J71" s="1028">
        <f t="shared" si="25"/>
        <v>-9.9913712044991665E-2</v>
      </c>
      <c r="K71" s="1058">
        <f>K70/J70-1</f>
        <v>0.78510522901974777</v>
      </c>
      <c r="L71" s="1045">
        <f>L70/K70-1</f>
        <v>-3.5068668450567775E-2</v>
      </c>
      <c r="M71" s="447"/>
      <c r="N71" s="569">
        <f>N70/L70-1</f>
        <v>-0.31386698401456659</v>
      </c>
      <c r="O71" s="569">
        <f>O70/N70-1</f>
        <v>-0.13579221777750028</v>
      </c>
      <c r="P71" s="1059">
        <f t="shared" ref="P71" si="26">P70/O70-1</f>
        <v>-3.2427790993979744E-2</v>
      </c>
      <c r="Q71" s="97"/>
      <c r="R71" s="1060">
        <f>+R70/J70-1</f>
        <v>0.78510522901974777</v>
      </c>
      <c r="S71" s="1045"/>
      <c r="T71" s="1045"/>
      <c r="U71" s="569"/>
      <c r="V71" s="569"/>
      <c r="W71" s="1059"/>
      <c r="Y71" s="561"/>
      <c r="Z71" s="561"/>
      <c r="AA71" s="561"/>
      <c r="AB71" s="561"/>
    </row>
    <row r="72" spans="1:28" s="450" customFormat="1" ht="12" customHeight="1">
      <c r="A72" s="206"/>
      <c r="B72" s="197"/>
      <c r="C72" s="984"/>
      <c r="D72" s="984"/>
      <c r="E72" s="984"/>
      <c r="F72" s="197"/>
      <c r="G72" s="197"/>
      <c r="H72" s="197"/>
      <c r="I72" s="197"/>
      <c r="J72" s="197"/>
      <c r="K72" s="788"/>
      <c r="L72" s="788"/>
      <c r="M72" s="194"/>
      <c r="N72" s="194"/>
      <c r="O72" s="194"/>
      <c r="P72" s="194"/>
      <c r="Q72" s="97"/>
      <c r="R72" s="788"/>
      <c r="S72" s="179"/>
      <c r="T72" s="179"/>
      <c r="U72" s="179"/>
      <c r="V72" s="179"/>
      <c r="W72" s="179"/>
    </row>
    <row r="73" spans="1:28" s="450" customFormat="1" ht="12" customHeight="1">
      <c r="A73" s="207" t="s">
        <v>141</v>
      </c>
      <c r="B73" s="83"/>
      <c r="C73" s="967"/>
      <c r="D73" s="967"/>
      <c r="E73" s="967"/>
      <c r="F73" s="83"/>
      <c r="G73" s="83"/>
      <c r="H73" s="83"/>
      <c r="I73" s="83"/>
      <c r="J73" s="83"/>
      <c r="K73" s="207"/>
      <c r="L73" s="207"/>
      <c r="M73" s="83"/>
      <c r="N73" s="83"/>
      <c r="O73" s="83"/>
      <c r="P73" s="83"/>
      <c r="Q73" s="97"/>
      <c r="R73" s="207"/>
      <c r="S73" s="74"/>
      <c r="T73" s="74"/>
      <c r="U73" s="74"/>
      <c r="V73" s="74"/>
      <c r="W73" s="74"/>
    </row>
    <row r="74" spans="1:28" s="459" customFormat="1" ht="12" customHeight="1">
      <c r="A74" s="208" t="s">
        <v>499</v>
      </c>
      <c r="B74" s="209"/>
      <c r="C74" s="985"/>
      <c r="D74" s="985"/>
      <c r="E74" s="985"/>
      <c r="F74" s="209"/>
      <c r="G74" s="209"/>
      <c r="H74" s="209"/>
      <c r="I74" s="209"/>
      <c r="J74" s="209"/>
      <c r="K74" s="215"/>
      <c r="L74" s="215"/>
      <c r="M74" s="210"/>
      <c r="N74" s="182"/>
      <c r="O74" s="469"/>
      <c r="P74" s="211"/>
      <c r="Q74" s="97"/>
      <c r="R74" s="215"/>
      <c r="S74" s="450"/>
      <c r="T74" s="450"/>
      <c r="U74" s="450"/>
      <c r="V74" s="450"/>
      <c r="W74" s="450"/>
    </row>
    <row r="75" spans="1:28" s="459" customFormat="1" ht="12" customHeight="1">
      <c r="A75" s="208" t="s">
        <v>142</v>
      </c>
      <c r="B75" s="212"/>
      <c r="C75" s="986"/>
      <c r="D75" s="986"/>
      <c r="E75" s="986"/>
      <c r="F75" s="212"/>
      <c r="G75" s="212"/>
      <c r="H75" s="212"/>
      <c r="I75" s="212"/>
      <c r="J75" s="212"/>
      <c r="K75" s="215"/>
      <c r="L75" s="215"/>
      <c r="M75" s="215"/>
      <c r="N75" s="215"/>
      <c r="O75" s="470"/>
      <c r="P75" s="210"/>
      <c r="Q75" s="97"/>
      <c r="R75" s="215"/>
      <c r="S75" s="74"/>
      <c r="T75" s="74"/>
      <c r="U75" s="74"/>
      <c r="V75" s="74"/>
      <c r="W75" s="74"/>
    </row>
    <row r="76" spans="1:28" ht="12" customHeight="1">
      <c r="A76" s="208" t="s">
        <v>143</v>
      </c>
      <c r="B76" s="213"/>
      <c r="C76" s="987"/>
      <c r="D76" s="987"/>
      <c r="E76" s="987"/>
      <c r="F76" s="213"/>
      <c r="G76" s="213"/>
      <c r="H76" s="213"/>
      <c r="I76" s="213"/>
      <c r="J76" s="213"/>
      <c r="K76" s="723"/>
      <c r="L76" s="723"/>
      <c r="M76" s="214"/>
      <c r="N76" s="214"/>
      <c r="O76" s="471"/>
      <c r="P76" s="472"/>
      <c r="Q76" s="97"/>
      <c r="R76" s="723"/>
      <c r="S76" s="459"/>
      <c r="T76" s="459"/>
      <c r="U76" s="459"/>
      <c r="V76" s="459"/>
      <c r="W76" s="459"/>
    </row>
    <row r="77" spans="1:28" s="459" customFormat="1" ht="12" customHeight="1">
      <c r="A77" s="208"/>
      <c r="B77" s="83"/>
      <c r="C77" s="967"/>
      <c r="D77" s="967"/>
      <c r="E77" s="967"/>
      <c r="F77" s="83"/>
      <c r="G77" s="83"/>
      <c r="H77" s="83"/>
      <c r="I77" s="83"/>
      <c r="J77" s="83"/>
      <c r="K77" s="725"/>
      <c r="L77" s="725"/>
      <c r="M77" s="473"/>
      <c r="N77" s="473"/>
      <c r="O77" s="710"/>
      <c r="P77" s="472"/>
      <c r="Q77" s="97"/>
      <c r="R77" s="725"/>
    </row>
    <row r="78" spans="1:28" ht="12" customHeight="1">
      <c r="A78" s="1152" t="s">
        <v>674</v>
      </c>
      <c r="B78" s="1153"/>
      <c r="C78" s="1153"/>
      <c r="D78" s="1153"/>
      <c r="E78" s="1153"/>
      <c r="F78" s="1153"/>
      <c r="G78" s="1153"/>
      <c r="H78" s="1153"/>
      <c r="I78" s="1153"/>
      <c r="J78" s="1154"/>
      <c r="K78" s="1153"/>
      <c r="L78" s="1153"/>
      <c r="M78" s="1153"/>
      <c r="N78" s="1153"/>
      <c r="O78" s="1153"/>
      <c r="P78" s="214"/>
      <c r="Q78" s="97"/>
      <c r="R78" s="475"/>
    </row>
    <row r="79" spans="1:28" ht="12" customHeight="1">
      <c r="A79" s="93" t="s">
        <v>95</v>
      </c>
      <c r="B79" s="93"/>
      <c r="C79" s="93"/>
      <c r="D79" s="93"/>
      <c r="E79" s="93"/>
      <c r="F79" s="1155">
        <v>0</v>
      </c>
      <c r="G79" s="1155">
        <v>0</v>
      </c>
      <c r="H79" s="1155">
        <v>0</v>
      </c>
      <c r="I79" s="1155">
        <v>0</v>
      </c>
      <c r="J79" s="1155">
        <v>0</v>
      </c>
      <c r="K79" s="1167">
        <v>0</v>
      </c>
      <c r="L79" s="1167">
        <v>0</v>
      </c>
      <c r="M79" s="107">
        <f>K79+L79</f>
        <v>0</v>
      </c>
      <c r="N79" s="1155">
        <v>0</v>
      </c>
      <c r="O79" s="1155">
        <v>0</v>
      </c>
      <c r="P79" s="1155">
        <v>0</v>
      </c>
      <c r="Q79" s="1155"/>
      <c r="R79" s="1167">
        <v>0</v>
      </c>
      <c r="S79" s="459"/>
      <c r="T79" s="459"/>
      <c r="U79" s="459"/>
      <c r="V79" s="459"/>
      <c r="W79" s="459"/>
    </row>
    <row r="80" spans="1:28" s="459" customFormat="1" ht="12" customHeight="1">
      <c r="A80" s="93" t="s">
        <v>96</v>
      </c>
      <c r="B80" s="93"/>
      <c r="C80" s="93"/>
      <c r="D80" s="93"/>
      <c r="E80" s="93"/>
      <c r="F80" s="1155">
        <v>0</v>
      </c>
      <c r="G80" s="1155">
        <v>0</v>
      </c>
      <c r="H80" s="1155">
        <v>0</v>
      </c>
      <c r="I80" s="1155">
        <v>0</v>
      </c>
      <c r="J80" s="1155">
        <v>0</v>
      </c>
      <c r="K80" s="1167">
        <v>0</v>
      </c>
      <c r="L80" s="1167">
        <v>0</v>
      </c>
      <c r="M80" s="107">
        <f>K80+L80</f>
        <v>0</v>
      </c>
      <c r="N80" s="1155">
        <v>0</v>
      </c>
      <c r="O80" s="1155">
        <v>0</v>
      </c>
      <c r="P80" s="1155">
        <v>0</v>
      </c>
      <c r="Q80" s="1155"/>
      <c r="R80" s="1167">
        <v>0</v>
      </c>
    </row>
    <row r="81" spans="1:23" ht="12" customHeight="1">
      <c r="A81" s="75"/>
      <c r="B81" s="75"/>
      <c r="F81" s="75"/>
      <c r="G81" s="75"/>
      <c r="H81" s="75"/>
      <c r="I81" s="75"/>
      <c r="J81" s="75"/>
      <c r="K81" s="474"/>
      <c r="L81" s="474"/>
      <c r="N81" s="75"/>
      <c r="O81" s="75"/>
      <c r="P81" s="75"/>
      <c r="Q81" s="473"/>
      <c r="R81" s="474"/>
      <c r="S81" s="459"/>
      <c r="T81" s="459"/>
      <c r="U81" s="459"/>
      <c r="V81" s="459"/>
      <c r="W81" s="459"/>
    </row>
    <row r="82" spans="1:23">
      <c r="F82" s="669"/>
      <c r="G82" s="669"/>
      <c r="H82" s="669"/>
      <c r="I82" s="669"/>
      <c r="J82" s="669"/>
      <c r="K82" s="727"/>
      <c r="L82" s="727"/>
      <c r="M82" s="74"/>
      <c r="N82" s="669"/>
      <c r="O82" s="669"/>
      <c r="P82" s="669"/>
      <c r="Q82" s="90"/>
      <c r="R82" s="727"/>
      <c r="S82" s="90"/>
      <c r="T82" s="90"/>
      <c r="U82" s="90"/>
      <c r="V82" s="90"/>
      <c r="W82" s="90"/>
    </row>
    <row r="83" spans="1:23">
      <c r="P83" s="79"/>
      <c r="Q83" s="79"/>
    </row>
    <row r="85" spans="1:23" ht="12" customHeight="1">
      <c r="A85" s="74"/>
      <c r="B85" s="74"/>
      <c r="C85" s="967"/>
      <c r="D85" s="967"/>
      <c r="E85" s="967"/>
      <c r="F85" s="74"/>
      <c r="G85" s="74"/>
      <c r="H85" s="74"/>
      <c r="I85" s="74"/>
      <c r="J85" s="74"/>
      <c r="K85" s="516"/>
      <c r="L85" s="516"/>
      <c r="N85" s="74"/>
      <c r="O85" s="74"/>
      <c r="R85" s="516"/>
    </row>
    <row r="87" spans="1:23">
      <c r="P87" s="74"/>
      <c r="Q87" s="74"/>
    </row>
    <row r="116" spans="1:18">
      <c r="M116" s="74"/>
    </row>
    <row r="119" spans="1:18" ht="12" customHeight="1">
      <c r="A119" s="476"/>
      <c r="B119" s="74"/>
      <c r="C119" s="967"/>
      <c r="D119" s="967"/>
      <c r="E119" s="967"/>
      <c r="F119" s="74"/>
      <c r="G119" s="74"/>
      <c r="H119" s="74"/>
      <c r="I119" s="74"/>
      <c r="J119" s="74"/>
      <c r="K119" s="516"/>
      <c r="L119" s="516"/>
      <c r="N119" s="74"/>
      <c r="O119" s="74"/>
      <c r="R119" s="516"/>
    </row>
    <row r="121" spans="1:18">
      <c r="P121" s="74"/>
      <c r="Q121" s="74"/>
    </row>
  </sheetData>
  <mergeCells count="3">
    <mergeCell ref="F7:J7"/>
    <mergeCell ref="K7:P7"/>
    <mergeCell ref="R7:W7"/>
  </mergeCells>
  <pageMargins left="0.7" right="0.7" top="0.75" bottom="0.75" header="0.3" footer="0.3"/>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121"/>
  <sheetViews>
    <sheetView showGridLines="0" zoomScale="120" zoomScaleNormal="120" workbookViewId="0">
      <selection activeCell="R12" sqref="R12:R17"/>
    </sheetView>
  </sheetViews>
  <sheetFormatPr baseColWidth="10" defaultColWidth="12.5703125" defaultRowHeight="12"/>
  <cols>
    <col min="1" max="1" width="30.7109375" style="90" customWidth="1"/>
    <col min="2" max="2" width="0.5703125" style="90" customWidth="1"/>
    <col min="3" max="5" width="8" style="963" hidden="1" customWidth="1"/>
    <col min="6" max="10" width="8.5703125" style="90" customWidth="1"/>
    <col min="11" max="12" width="8.5703125" style="728" customWidth="1"/>
    <col min="13" max="16" width="8.5703125" style="76" customWidth="1"/>
    <col min="17" max="17" width="0.5703125" style="76" customWidth="1"/>
    <col min="18" max="18" width="8.5703125" style="728" customWidth="1"/>
    <col min="19" max="23" width="8.5703125" style="74" customWidth="1"/>
    <col min="24" max="16384" width="12.5703125" style="74"/>
  </cols>
  <sheetData>
    <row r="1" spans="1:28" ht="12" customHeight="1">
      <c r="A1" s="73" t="s">
        <v>346</v>
      </c>
      <c r="B1" s="73"/>
      <c r="C1" s="962"/>
      <c r="D1" s="962"/>
      <c r="E1" s="962"/>
      <c r="F1" s="73"/>
      <c r="G1" s="73"/>
      <c r="H1" s="73"/>
      <c r="I1" s="73"/>
      <c r="J1" s="73"/>
      <c r="L1" s="729"/>
      <c r="M1" s="73"/>
      <c r="N1" s="73"/>
      <c r="O1" s="73"/>
      <c r="P1" s="73"/>
      <c r="Q1" s="73"/>
      <c r="S1" s="73"/>
      <c r="T1" s="73"/>
      <c r="U1" s="73"/>
      <c r="V1" s="73"/>
      <c r="W1" s="73"/>
    </row>
    <row r="2" spans="1:28" ht="12" customHeight="1">
      <c r="A2" s="75"/>
      <c r="B2" s="75"/>
      <c r="F2" s="75"/>
      <c r="G2" s="75"/>
      <c r="H2" s="75"/>
      <c r="I2" s="75"/>
      <c r="J2" s="75"/>
    </row>
    <row r="3" spans="1:28" ht="12" customHeight="1">
      <c r="A3" s="77" t="str">
        <f>Header!B3</f>
        <v>Norway - TCZ</v>
      </c>
      <c r="B3" s="78"/>
      <c r="C3" s="964"/>
      <c r="D3" s="964"/>
      <c r="E3" s="964"/>
      <c r="F3" s="78"/>
      <c r="G3" s="78"/>
      <c r="H3" s="78"/>
      <c r="I3" s="78"/>
      <c r="J3" s="78"/>
      <c r="K3" s="475"/>
      <c r="L3" s="475"/>
      <c r="M3" s="79"/>
      <c r="N3" s="79"/>
      <c r="O3" s="79"/>
      <c r="P3" s="79"/>
      <c r="Q3" s="79"/>
      <c r="R3" s="475"/>
      <c r="S3" s="430"/>
      <c r="T3" s="430"/>
      <c r="U3" s="430"/>
      <c r="V3" s="430"/>
      <c r="W3" s="430"/>
    </row>
    <row r="4" spans="1:28" ht="12" customHeight="1">
      <c r="A4" s="80" t="s">
        <v>695</v>
      </c>
      <c r="B4" s="78"/>
      <c r="C4" s="1031"/>
      <c r="E4" s="964"/>
      <c r="F4" s="78"/>
      <c r="G4" s="78"/>
      <c r="H4" s="78"/>
      <c r="I4" s="78"/>
      <c r="J4" s="78"/>
      <c r="K4" s="475"/>
      <c r="L4" s="475"/>
      <c r="M4" s="79"/>
      <c r="N4" s="79"/>
      <c r="O4" s="79"/>
      <c r="P4" s="79"/>
      <c r="Q4" s="79"/>
      <c r="R4" s="475"/>
    </row>
    <row r="5" spans="1:28" ht="12" customHeight="1">
      <c r="A5" s="81" t="s">
        <v>692</v>
      </c>
      <c r="B5" s="78"/>
      <c r="C5" s="964"/>
      <c r="D5" s="964"/>
      <c r="E5" s="964"/>
      <c r="F5" s="78"/>
      <c r="G5" s="78"/>
      <c r="H5" s="78"/>
      <c r="I5" s="79"/>
      <c r="J5" s="79"/>
      <c r="K5" s="475"/>
      <c r="L5" s="475"/>
      <c r="M5" s="79"/>
      <c r="N5" s="79"/>
      <c r="O5" s="79"/>
      <c r="P5" s="79"/>
      <c r="Q5" s="79"/>
      <c r="R5" s="475"/>
    </row>
    <row r="6" spans="1:28" ht="12" customHeight="1">
      <c r="A6" s="75"/>
      <c r="B6" s="75"/>
      <c r="F6" s="75"/>
      <c r="G6" s="75"/>
      <c r="H6" s="75"/>
      <c r="I6" s="75"/>
      <c r="J6" s="75"/>
    </row>
    <row r="7" spans="1:28" s="82" customFormat="1" ht="12" customHeight="1">
      <c r="C7" s="965"/>
      <c r="D7" s="966"/>
      <c r="E7" s="966"/>
      <c r="F7" s="1505" t="s">
        <v>555</v>
      </c>
      <c r="G7" s="1506"/>
      <c r="H7" s="1506"/>
      <c r="I7" s="1506"/>
      <c r="J7" s="1507"/>
      <c r="K7" s="1500" t="s">
        <v>345</v>
      </c>
      <c r="L7" s="1501"/>
      <c r="M7" s="1501"/>
      <c r="N7" s="1501"/>
      <c r="O7" s="1501"/>
      <c r="P7" s="1502"/>
      <c r="Q7" s="1004"/>
      <c r="R7" s="1505" t="s">
        <v>89</v>
      </c>
      <c r="S7" s="1506"/>
      <c r="T7" s="1506"/>
      <c r="U7" s="1506"/>
      <c r="V7" s="1506"/>
      <c r="W7" s="1507"/>
    </row>
    <row r="8" spans="1:28" ht="12" customHeight="1">
      <c r="A8" s="74"/>
      <c r="B8" s="74"/>
      <c r="C8" s="967"/>
      <c r="D8" s="967"/>
      <c r="E8" s="967"/>
      <c r="F8" s="74"/>
      <c r="G8" s="74"/>
      <c r="H8" s="74"/>
      <c r="I8" s="74"/>
      <c r="J8" s="74"/>
      <c r="K8" s="207"/>
      <c r="L8" s="207"/>
      <c r="M8" s="83"/>
      <c r="N8" s="83"/>
      <c r="O8" s="83"/>
      <c r="P8" s="83"/>
      <c r="Q8" s="83"/>
      <c r="R8" s="207"/>
    </row>
    <row r="9" spans="1:28" s="89" customFormat="1" ht="12" customHeight="1">
      <c r="A9" s="84" t="s">
        <v>90</v>
      </c>
      <c r="B9" s="75"/>
      <c r="C9" s="968"/>
      <c r="D9" s="968"/>
      <c r="E9" s="968"/>
      <c r="F9" s="85">
        <v>2015</v>
      </c>
      <c r="G9" s="86">
        <v>2016</v>
      </c>
      <c r="H9" s="86">
        <v>2017</v>
      </c>
      <c r="I9" s="86">
        <v>2018</v>
      </c>
      <c r="J9" s="87">
        <v>2019</v>
      </c>
      <c r="K9" s="711">
        <v>2020</v>
      </c>
      <c r="L9" s="711">
        <v>2021</v>
      </c>
      <c r="M9" s="86" t="s">
        <v>498</v>
      </c>
      <c r="N9" s="86">
        <v>2022</v>
      </c>
      <c r="O9" s="86">
        <v>2023</v>
      </c>
      <c r="P9" s="87">
        <v>2024</v>
      </c>
      <c r="Q9" s="88"/>
      <c r="R9" s="931">
        <v>2020</v>
      </c>
      <c r="S9" s="712">
        <v>2021</v>
      </c>
      <c r="T9" s="86" t="s">
        <v>498</v>
      </c>
      <c r="U9" s="86">
        <v>2022</v>
      </c>
      <c r="V9" s="86">
        <v>2023</v>
      </c>
      <c r="W9" s="87">
        <v>2024</v>
      </c>
    </row>
    <row r="10" spans="1:28" ht="12" customHeight="1">
      <c r="A10" s="75"/>
      <c r="B10" s="75"/>
      <c r="F10" s="75"/>
      <c r="G10" s="75"/>
      <c r="H10" s="75"/>
      <c r="I10" s="75"/>
      <c r="J10" s="75"/>
      <c r="K10" s="1408"/>
      <c r="L10" s="1408"/>
      <c r="M10" s="1409"/>
      <c r="N10" s="1410"/>
      <c r="O10" s="1410"/>
      <c r="P10" s="1409"/>
      <c r="R10" s="1408"/>
      <c r="S10" s="90"/>
      <c r="T10" s="90"/>
      <c r="U10" s="90"/>
      <c r="V10" s="90"/>
      <c r="W10" s="90"/>
    </row>
    <row r="11" spans="1:28" ht="15.6" customHeight="1">
      <c r="A11" s="91" t="s">
        <v>91</v>
      </c>
      <c r="B11" s="969"/>
      <c r="C11" s="969"/>
      <c r="D11" s="969"/>
      <c r="E11" s="969"/>
      <c r="F11" s="91"/>
      <c r="G11" s="91"/>
      <c r="H11" s="91"/>
      <c r="I11" s="91"/>
      <c r="J11" s="91"/>
      <c r="K11" s="730"/>
      <c r="L11" s="730"/>
      <c r="M11" s="93"/>
      <c r="N11" s="93"/>
      <c r="O11" s="93"/>
      <c r="P11" s="92"/>
      <c r="Q11" s="92"/>
      <c r="R11" s="730"/>
      <c r="S11" s="93"/>
      <c r="T11" s="93"/>
      <c r="U11" s="94"/>
      <c r="V11" s="94"/>
      <c r="W11" s="94"/>
    </row>
    <row r="12" spans="1:28" ht="12" customHeight="1">
      <c r="A12" s="95" t="s">
        <v>92</v>
      </c>
      <c r="B12" s="102"/>
      <c r="C12" s="970"/>
      <c r="D12" s="970"/>
      <c r="E12" s="970"/>
      <c r="F12" s="98">
        <v>54891.217319462783</v>
      </c>
      <c r="G12" s="99">
        <v>50215.577760766057</v>
      </c>
      <c r="H12" s="99">
        <v>50568.792059470463</v>
      </c>
      <c r="I12" s="99">
        <v>49809.138347863249</v>
      </c>
      <c r="J12" s="709">
        <v>51973.339823066395</v>
      </c>
      <c r="K12" s="731">
        <v>39499.075096412846</v>
      </c>
      <c r="L12" s="732">
        <v>37146.64653730813</v>
      </c>
      <c r="M12" s="99">
        <f t="shared" ref="M12:M17" si="0">K12+L12</f>
        <v>76645.721633720968</v>
      </c>
      <c r="N12" s="732">
        <v>37747.467434051781</v>
      </c>
      <c r="O12" s="732">
        <v>38474.84206628937</v>
      </c>
      <c r="P12" s="1414">
        <v>39720.716217789392</v>
      </c>
      <c r="Q12" s="97"/>
      <c r="R12" s="731">
        <v>39499.075096412846</v>
      </c>
      <c r="S12" s="99"/>
      <c r="T12" s="99"/>
      <c r="U12" s="100"/>
      <c r="V12" s="100"/>
      <c r="W12" s="101"/>
      <c r="Y12" s="561"/>
      <c r="Z12" s="561"/>
      <c r="AA12" s="561"/>
      <c r="AB12" s="561"/>
    </row>
    <row r="13" spans="1:28" ht="12" customHeight="1">
      <c r="A13" s="102" t="s">
        <v>93</v>
      </c>
      <c r="B13" s="102"/>
      <c r="C13" s="971"/>
      <c r="D13" s="971"/>
      <c r="E13" s="971"/>
      <c r="F13" s="480"/>
      <c r="G13" s="481"/>
      <c r="H13" s="481"/>
      <c r="I13" s="481"/>
      <c r="J13" s="708"/>
      <c r="K13" s="735">
        <v>14683.017456359104</v>
      </c>
      <c r="L13" s="736">
        <v>13422.616626288553</v>
      </c>
      <c r="M13" s="104">
        <f t="shared" si="0"/>
        <v>28105.634082647659</v>
      </c>
      <c r="N13" s="736">
        <v>13701.080026510615</v>
      </c>
      <c r="O13" s="736">
        <v>13999.32730467054</v>
      </c>
      <c r="P13" s="1415">
        <v>14303.105559458249</v>
      </c>
      <c r="Q13" s="97"/>
      <c r="R13" s="735">
        <v>14683.017456359104</v>
      </c>
      <c r="S13" s="104"/>
      <c r="T13" s="104"/>
      <c r="U13" s="105"/>
      <c r="V13" s="105"/>
      <c r="W13" s="106"/>
      <c r="Y13" s="561"/>
      <c r="Z13" s="561"/>
      <c r="AA13" s="561"/>
      <c r="AB13" s="561"/>
    </row>
    <row r="14" spans="1:28" ht="12" customHeight="1">
      <c r="A14" s="102" t="s">
        <v>94</v>
      </c>
      <c r="B14" s="102"/>
      <c r="C14" s="970"/>
      <c r="D14" s="970"/>
      <c r="E14" s="970"/>
      <c r="F14" s="103">
        <v>18297.072439820928</v>
      </c>
      <c r="G14" s="104">
        <v>17419.525920255353</v>
      </c>
      <c r="H14" s="104">
        <v>17538.626019823489</v>
      </c>
      <c r="I14" s="104">
        <v>17475.046115954417</v>
      </c>
      <c r="J14" s="431">
        <v>21528.684807688798</v>
      </c>
      <c r="K14" s="735">
        <v>22291.00961805851</v>
      </c>
      <c r="L14" s="736">
        <v>26379.505125018157</v>
      </c>
      <c r="M14" s="104">
        <f t="shared" si="0"/>
        <v>48670.514743076666</v>
      </c>
      <c r="N14" s="736">
        <v>17239.481254026829</v>
      </c>
      <c r="O14" s="736">
        <v>26651.529887673023</v>
      </c>
      <c r="P14" s="1415">
        <v>26793.4569795805</v>
      </c>
      <c r="Q14" s="97"/>
      <c r="R14" s="735">
        <v>22291.00961805851</v>
      </c>
      <c r="S14" s="104"/>
      <c r="T14" s="104"/>
      <c r="U14" s="105"/>
      <c r="V14" s="105"/>
      <c r="W14" s="106"/>
      <c r="Y14" s="561"/>
      <c r="Z14" s="561"/>
      <c r="AA14" s="561"/>
      <c r="AB14" s="561"/>
    </row>
    <row r="15" spans="1:28" ht="12" customHeight="1">
      <c r="A15" s="102" t="s">
        <v>95</v>
      </c>
      <c r="B15" s="102"/>
      <c r="C15" s="970"/>
      <c r="D15" s="970"/>
      <c r="E15" s="970"/>
      <c r="F15" s="103">
        <v>3967.290626</v>
      </c>
      <c r="G15" s="104">
        <v>10849.97393</v>
      </c>
      <c r="H15" s="104">
        <v>11812.869999999999</v>
      </c>
      <c r="I15" s="104">
        <v>11803.23</v>
      </c>
      <c r="J15" s="431">
        <v>10210.329555856022</v>
      </c>
      <c r="K15" s="735">
        <v>8954.5314714276319</v>
      </c>
      <c r="L15" s="736">
        <v>7102.1755661971183</v>
      </c>
      <c r="M15" s="104">
        <f t="shared" si="0"/>
        <v>16056.70703762475</v>
      </c>
      <c r="N15" s="736">
        <v>5256.9179717844527</v>
      </c>
      <c r="O15" s="736">
        <v>8064.1175532806956</v>
      </c>
      <c r="P15" s="1415">
        <v>7906.0026495071124</v>
      </c>
      <c r="Q15" s="97"/>
      <c r="R15" s="735">
        <v>8954.5314714276319</v>
      </c>
      <c r="S15" s="104"/>
      <c r="T15" s="104"/>
      <c r="U15" s="105"/>
      <c r="V15" s="105"/>
      <c r="W15" s="106"/>
      <c r="Y15" s="561"/>
      <c r="Z15" s="561"/>
      <c r="AA15" s="561"/>
      <c r="AB15" s="561"/>
    </row>
    <row r="16" spans="1:28" ht="12" customHeight="1">
      <c r="A16" s="102" t="s">
        <v>96</v>
      </c>
      <c r="B16" s="102"/>
      <c r="C16" s="970"/>
      <c r="D16" s="970"/>
      <c r="E16" s="970"/>
      <c r="F16" s="103">
        <v>1727.8520000000001</v>
      </c>
      <c r="G16" s="104">
        <v>8675.9223889785735</v>
      </c>
      <c r="H16" s="104">
        <v>9281.0740000000005</v>
      </c>
      <c r="I16" s="104">
        <v>9289.5879999999997</v>
      </c>
      <c r="J16" s="431">
        <v>6714.8294911423955</v>
      </c>
      <c r="K16" s="735">
        <v>5410.5172862572199</v>
      </c>
      <c r="L16" s="736">
        <v>6200.3321719365558</v>
      </c>
      <c r="M16" s="104">
        <f t="shared" si="0"/>
        <v>11610.849458193776</v>
      </c>
      <c r="N16" s="736">
        <v>6185.4992217423151</v>
      </c>
      <c r="O16" s="736">
        <v>6162.9875421057341</v>
      </c>
      <c r="P16" s="1415">
        <v>5748.6214920237207</v>
      </c>
      <c r="Q16" s="97"/>
      <c r="R16" s="735">
        <v>5410.5172862572199</v>
      </c>
      <c r="S16" s="104"/>
      <c r="T16" s="104"/>
      <c r="U16" s="105"/>
      <c r="V16" s="105"/>
      <c r="W16" s="106"/>
      <c r="Y16" s="561"/>
      <c r="Z16" s="561"/>
      <c r="AA16" s="561"/>
      <c r="AB16" s="561"/>
    </row>
    <row r="17" spans="1:28" ht="12" customHeight="1">
      <c r="A17" s="102" t="s">
        <v>97</v>
      </c>
      <c r="B17" s="102"/>
      <c r="C17" s="970"/>
      <c r="D17" s="970"/>
      <c r="E17" s="970"/>
      <c r="F17" s="103"/>
      <c r="G17" s="104"/>
      <c r="H17" s="104"/>
      <c r="I17" s="104"/>
      <c r="J17" s="431"/>
      <c r="K17" s="735">
        <v>0</v>
      </c>
      <c r="L17" s="736">
        <v>0</v>
      </c>
      <c r="M17" s="104">
        <f t="shared" si="0"/>
        <v>0</v>
      </c>
      <c r="N17" s="736">
        <v>0</v>
      </c>
      <c r="O17" s="736">
        <v>0</v>
      </c>
      <c r="P17" s="1415">
        <v>0</v>
      </c>
      <c r="Q17" s="97"/>
      <c r="R17" s="735">
        <v>0</v>
      </c>
      <c r="S17" s="104"/>
      <c r="T17" s="104"/>
      <c r="U17" s="105"/>
      <c r="V17" s="105"/>
      <c r="W17" s="106"/>
      <c r="Y17" s="561"/>
      <c r="Z17" s="561"/>
      <c r="AA17" s="561"/>
      <c r="AB17" s="561"/>
    </row>
    <row r="18" spans="1:28" ht="12" customHeight="1">
      <c r="A18" s="108" t="s">
        <v>98</v>
      </c>
      <c r="B18" s="432"/>
      <c r="C18" s="972"/>
      <c r="D18" s="972"/>
      <c r="E18" s="972"/>
      <c r="F18" s="109">
        <f t="shared" ref="F18:R18" si="1">F12+SUM(F14:F17)</f>
        <v>78883.432385283711</v>
      </c>
      <c r="G18" s="567">
        <f t="shared" si="1"/>
        <v>87160.999999999985</v>
      </c>
      <c r="H18" s="567">
        <f t="shared" si="1"/>
        <v>89201.362079293947</v>
      </c>
      <c r="I18" s="567">
        <f t="shared" si="1"/>
        <v>88377.002463817669</v>
      </c>
      <c r="J18" s="219">
        <f t="shared" si="1"/>
        <v>90427.183677753608</v>
      </c>
      <c r="K18" s="737">
        <f t="shared" si="1"/>
        <v>76155.133472156216</v>
      </c>
      <c r="L18" s="738">
        <f t="shared" si="1"/>
        <v>76828.659400459961</v>
      </c>
      <c r="M18" s="582">
        <f t="shared" si="1"/>
        <v>152983.79287261615</v>
      </c>
      <c r="N18" s="738">
        <f t="shared" si="1"/>
        <v>66429.365881605379</v>
      </c>
      <c r="O18" s="738">
        <f t="shared" si="1"/>
        <v>79353.477049348818</v>
      </c>
      <c r="P18" s="1423">
        <f t="shared" si="1"/>
        <v>80168.797338900724</v>
      </c>
      <c r="Q18" s="1420"/>
      <c r="R18" s="737">
        <f t="shared" si="1"/>
        <v>76155.133472156216</v>
      </c>
      <c r="S18" s="567"/>
      <c r="T18" s="567"/>
      <c r="U18" s="131"/>
      <c r="V18" s="433"/>
      <c r="W18" s="434"/>
      <c r="Y18" s="561"/>
      <c r="Z18" s="561"/>
      <c r="AA18" s="561"/>
      <c r="AB18" s="561"/>
    </row>
    <row r="19" spans="1:28" ht="12" customHeight="1">
      <c r="A19" s="113" t="s">
        <v>99</v>
      </c>
      <c r="B19" s="114"/>
      <c r="C19" s="973"/>
      <c r="D19" s="973"/>
      <c r="E19" s="973"/>
      <c r="F19" s="115"/>
      <c r="G19" s="116">
        <f>G18/F18-1</f>
        <v>0.10493417140226402</v>
      </c>
      <c r="H19" s="116">
        <f t="shared" ref="H19:J19" si="2">H18/G18-1</f>
        <v>2.3409117372379384E-2</v>
      </c>
      <c r="I19" s="116">
        <f t="shared" si="2"/>
        <v>-9.241558606958078E-3</v>
      </c>
      <c r="J19" s="117">
        <f t="shared" si="2"/>
        <v>2.3198130246330884E-2</v>
      </c>
      <c r="K19" s="739">
        <f>K18/J18-1</f>
        <v>-0.15782920163097502</v>
      </c>
      <c r="L19" s="740">
        <f>L18/K18-1</f>
        <v>8.8441303638446822E-3</v>
      </c>
      <c r="M19" s="716"/>
      <c r="N19" s="584">
        <f>N18/L18-1</f>
        <v>-0.13535695663579839</v>
      </c>
      <c r="O19" s="584">
        <f t="shared" ref="O19" si="3">O18/N18-1</f>
        <v>0.19455418543024483</v>
      </c>
      <c r="P19" s="583">
        <f>P18/O18-1</f>
        <v>1.0274537674573203E-2</v>
      </c>
      <c r="Q19" s="97"/>
      <c r="R19" s="739">
        <f>+R18/J18-1</f>
        <v>-0.15782920163097502</v>
      </c>
      <c r="S19" s="116"/>
      <c r="T19" s="116"/>
      <c r="U19" s="116"/>
      <c r="V19" s="116"/>
      <c r="W19" s="117"/>
    </row>
    <row r="20" spans="1:28" ht="12" customHeight="1">
      <c r="A20" s="114"/>
      <c r="B20" s="114"/>
      <c r="C20" s="974"/>
      <c r="D20" s="974"/>
      <c r="E20" s="974"/>
      <c r="F20" s="114"/>
      <c r="G20" s="114"/>
      <c r="H20" s="114"/>
      <c r="I20" s="114"/>
      <c r="J20" s="114"/>
      <c r="K20" s="822"/>
      <c r="L20" s="822"/>
      <c r="M20" s="119"/>
      <c r="N20" s="585"/>
      <c r="O20" s="585"/>
      <c r="P20" s="585"/>
      <c r="Q20" s="97"/>
      <c r="R20" s="822"/>
      <c r="S20" s="114"/>
      <c r="T20" s="114"/>
      <c r="U20" s="114"/>
      <c r="V20" s="114"/>
      <c r="W20" s="114"/>
    </row>
    <row r="21" spans="1:28" ht="15.6" customHeight="1">
      <c r="A21" s="91" t="s">
        <v>100</v>
      </c>
      <c r="B21" s="91"/>
      <c r="C21" s="969"/>
      <c r="D21" s="969"/>
      <c r="E21" s="969"/>
      <c r="F21" s="91"/>
      <c r="G21" s="91"/>
      <c r="H21" s="91"/>
      <c r="I21" s="91"/>
      <c r="J21" s="91"/>
      <c r="K21" s="742"/>
      <c r="L21" s="742"/>
      <c r="M21" s="93"/>
      <c r="N21" s="586"/>
      <c r="O21" s="586"/>
      <c r="P21" s="587"/>
      <c r="Q21" s="97"/>
      <c r="R21" s="742"/>
      <c r="S21" s="93"/>
      <c r="T21" s="93"/>
      <c r="U21" s="94"/>
      <c r="V21" s="94"/>
      <c r="W21" s="94"/>
    </row>
    <row r="22" spans="1:28" ht="12" customHeight="1">
      <c r="A22" s="96" t="s">
        <v>101</v>
      </c>
      <c r="B22" s="102"/>
      <c r="C22" s="970"/>
      <c r="D22" s="970"/>
      <c r="E22" s="970"/>
      <c r="F22" s="98">
        <v>40694.594034129164</v>
      </c>
      <c r="G22" s="99">
        <v>45013.6749364731</v>
      </c>
      <c r="H22" s="99">
        <v>46035.147296603551</v>
      </c>
      <c r="I22" s="99">
        <v>45560.707574496329</v>
      </c>
      <c r="J22" s="709">
        <v>46639.37219605541</v>
      </c>
      <c r="K22" s="812">
        <v>39051.354548553492</v>
      </c>
      <c r="L22" s="652">
        <v>39384.571364761585</v>
      </c>
      <c r="M22" s="564">
        <f t="shared" ref="M22:M30" si="4">K22+L22</f>
        <v>78435.925913315077</v>
      </c>
      <c r="N22" s="652">
        <v>33906.858386055414</v>
      </c>
      <c r="O22" s="652">
        <v>40671.746353247487</v>
      </c>
      <c r="P22" s="1417">
        <v>41080.072771728876</v>
      </c>
      <c r="Q22" s="97"/>
      <c r="R22" s="812">
        <v>39051.354548553492</v>
      </c>
      <c r="S22" s="564"/>
      <c r="T22" s="564"/>
      <c r="U22" s="100"/>
      <c r="V22" s="123"/>
      <c r="W22" s="124"/>
      <c r="Y22" s="561"/>
      <c r="Z22" s="561"/>
      <c r="AA22" s="561"/>
      <c r="AB22" s="561"/>
    </row>
    <row r="23" spans="1:28" ht="12" customHeight="1">
      <c r="A23" s="120" t="s">
        <v>102</v>
      </c>
      <c r="B23" s="102"/>
      <c r="C23" s="970"/>
      <c r="D23" s="970"/>
      <c r="E23" s="970"/>
      <c r="F23" s="103">
        <v>1871.8245423385499</v>
      </c>
      <c r="G23" s="104">
        <v>2070.4888078322138</v>
      </c>
      <c r="H23" s="104">
        <v>2117.473354020563</v>
      </c>
      <c r="I23" s="104">
        <v>2095.6506049115342</v>
      </c>
      <c r="J23" s="431">
        <v>2145.2658169442011</v>
      </c>
      <c r="K23" s="747">
        <v>1796.2406454833385</v>
      </c>
      <c r="L23" s="748">
        <v>1811.5675808982767</v>
      </c>
      <c r="M23" s="563">
        <f t="shared" si="4"/>
        <v>3607.808226381615</v>
      </c>
      <c r="N23" s="748">
        <v>1559.6098495880808</v>
      </c>
      <c r="O23" s="748">
        <v>1870.7736201995067</v>
      </c>
      <c r="P23" s="1416">
        <v>1889.5553633164834</v>
      </c>
      <c r="Q23" s="97"/>
      <c r="R23" s="747">
        <v>1796.2406454833385</v>
      </c>
      <c r="S23" s="563"/>
      <c r="T23" s="563"/>
      <c r="U23" s="105"/>
      <c r="V23" s="127"/>
      <c r="W23" s="128"/>
      <c r="Y23" s="561"/>
      <c r="Z23" s="561"/>
      <c r="AA23" s="561"/>
      <c r="AB23" s="561"/>
    </row>
    <row r="24" spans="1:28" ht="12" customHeight="1">
      <c r="A24" s="120" t="s">
        <v>103</v>
      </c>
      <c r="B24" s="102"/>
      <c r="C24" s="970"/>
      <c r="D24" s="970"/>
      <c r="E24" s="970"/>
      <c r="F24" s="103">
        <v>21023.578638406958</v>
      </c>
      <c r="G24" s="104">
        <v>23254.895577455824</v>
      </c>
      <c r="H24" s="104">
        <v>23782.607058547179</v>
      </c>
      <c r="I24" s="104">
        <v>23537.502738338459</v>
      </c>
      <c r="J24" s="431">
        <v>24094.76079764717</v>
      </c>
      <c r="K24" s="747">
        <v>20174.650780378386</v>
      </c>
      <c r="L24" s="748">
        <v>20346.796739945279</v>
      </c>
      <c r="M24" s="563">
        <f t="shared" si="4"/>
        <v>40521.447520323665</v>
      </c>
      <c r="N24" s="748">
        <v>17516.909077965662</v>
      </c>
      <c r="O24" s="748">
        <v>21011.775104617718</v>
      </c>
      <c r="P24" s="1416">
        <v>21222.724071497276</v>
      </c>
      <c r="Q24" s="97"/>
      <c r="R24" s="747">
        <v>20174.650780378386</v>
      </c>
      <c r="S24" s="563"/>
      <c r="T24" s="563"/>
      <c r="U24" s="105"/>
      <c r="V24" s="127"/>
      <c r="W24" s="128"/>
      <c r="Y24" s="561"/>
      <c r="Z24" s="561"/>
      <c r="AA24" s="561"/>
      <c r="AB24" s="561"/>
    </row>
    <row r="25" spans="1:28" ht="12" customHeight="1">
      <c r="A25" s="120" t="s">
        <v>104</v>
      </c>
      <c r="B25" s="102"/>
      <c r="C25" s="970"/>
      <c r="D25" s="970"/>
      <c r="E25" s="970"/>
      <c r="F25" s="103">
        <v>10715.772696610971</v>
      </c>
      <c r="G25" s="104">
        <v>11853.080742219576</v>
      </c>
      <c r="H25" s="104">
        <v>12122.056656264785</v>
      </c>
      <c r="I25" s="104">
        <v>11997.126346944573</v>
      </c>
      <c r="J25" s="431">
        <v>12281.162228732926</v>
      </c>
      <c r="K25" s="747">
        <v>10283.071960027701</v>
      </c>
      <c r="L25" s="748">
        <v>10370.815203225549</v>
      </c>
      <c r="M25" s="563">
        <f t="shared" si="4"/>
        <v>20653.88716325325</v>
      </c>
      <c r="N25" s="748">
        <v>8928.4141037610061</v>
      </c>
      <c r="O25" s="748">
        <v>10709.75640474755</v>
      </c>
      <c r="P25" s="1416">
        <v>10817.277641666591</v>
      </c>
      <c r="Q25" s="97"/>
      <c r="R25" s="747">
        <v>10283.071960027701</v>
      </c>
      <c r="S25" s="563"/>
      <c r="T25" s="563"/>
      <c r="U25" s="105"/>
      <c r="V25" s="127"/>
      <c r="W25" s="128"/>
      <c r="Y25" s="561"/>
      <c r="Z25" s="561"/>
      <c r="AA25" s="561"/>
      <c r="AB25" s="561"/>
    </row>
    <row r="26" spans="1:28" ht="12" customHeight="1">
      <c r="A26" s="120" t="s">
        <v>105</v>
      </c>
      <c r="B26" s="102"/>
      <c r="C26" s="970"/>
      <c r="D26" s="970"/>
      <c r="E26" s="970"/>
      <c r="F26" s="103">
        <v>12.318851621353465</v>
      </c>
      <c r="G26" s="104">
        <v>13.626300879404159</v>
      </c>
      <c r="H26" s="104">
        <v>13.935515573356078</v>
      </c>
      <c r="I26" s="104">
        <v>13.791895697580602</v>
      </c>
      <c r="J26" s="431">
        <v>14.118423329507475</v>
      </c>
      <c r="K26" s="747">
        <v>11.821418881658877</v>
      </c>
      <c r="L26" s="748">
        <v>11.922288508547519</v>
      </c>
      <c r="M26" s="563">
        <f t="shared" si="4"/>
        <v>23.743707390206396</v>
      </c>
      <c r="N26" s="748">
        <v>10.264104294878965</v>
      </c>
      <c r="O26" s="748">
        <v>12.31193529260382</v>
      </c>
      <c r="P26" s="1416">
        <v>12.435541699836495</v>
      </c>
      <c r="Q26" s="97"/>
      <c r="R26" s="747">
        <v>11.821418881658877</v>
      </c>
      <c r="S26" s="563"/>
      <c r="T26" s="563"/>
      <c r="U26" s="105"/>
      <c r="V26" s="127"/>
      <c r="W26" s="128"/>
      <c r="Y26" s="561"/>
      <c r="Z26" s="561"/>
      <c r="AA26" s="561"/>
      <c r="AB26" s="561"/>
    </row>
    <row r="27" spans="1:28" ht="12" customHeight="1">
      <c r="A27" s="120" t="s">
        <v>106</v>
      </c>
      <c r="B27" s="102"/>
      <c r="C27" s="970"/>
      <c r="D27" s="970"/>
      <c r="E27" s="970"/>
      <c r="F27" s="103">
        <v>3206.8750869585347</v>
      </c>
      <c r="G27" s="104">
        <v>3547.2336351398731</v>
      </c>
      <c r="H27" s="104">
        <v>3627.7291982844972</v>
      </c>
      <c r="I27" s="104">
        <v>3590.3417034292056</v>
      </c>
      <c r="J27" s="431">
        <v>3675.3442150443921</v>
      </c>
      <c r="K27" s="747">
        <v>3077.382118831621</v>
      </c>
      <c r="L27" s="748">
        <v>3103.6407591207262</v>
      </c>
      <c r="M27" s="563">
        <f t="shared" si="4"/>
        <v>6181.0228779523477</v>
      </c>
      <c r="N27" s="748">
        <v>2671.9779866603362</v>
      </c>
      <c r="O27" s="748">
        <v>3205.0746104983746</v>
      </c>
      <c r="P27" s="1416">
        <v>3237.2521478311414</v>
      </c>
      <c r="Q27" s="97"/>
      <c r="R27" s="747">
        <v>3077.382118831621</v>
      </c>
      <c r="S27" s="563"/>
      <c r="T27" s="563"/>
      <c r="U27" s="105"/>
      <c r="V27" s="127"/>
      <c r="W27" s="128"/>
      <c r="Y27" s="561"/>
      <c r="Z27" s="561"/>
      <c r="AA27" s="561"/>
      <c r="AB27" s="561"/>
    </row>
    <row r="28" spans="1:28" ht="12" customHeight="1">
      <c r="A28" s="120" t="s">
        <v>107</v>
      </c>
      <c r="B28" s="102"/>
      <c r="C28" s="970"/>
      <c r="D28" s="970"/>
      <c r="E28" s="970"/>
      <c r="F28" s="103">
        <v>1097.93853521818</v>
      </c>
      <c r="G28" s="104">
        <v>1152</v>
      </c>
      <c r="H28" s="104">
        <v>1238.183</v>
      </c>
      <c r="I28" s="104">
        <v>1312.367</v>
      </c>
      <c r="J28" s="431">
        <v>1299.1600000000001</v>
      </c>
      <c r="K28" s="747">
        <v>1591.44</v>
      </c>
      <c r="L28" s="748">
        <v>1626.4516800000001</v>
      </c>
      <c r="M28" s="563">
        <f t="shared" si="4"/>
        <v>3217.8916800000002</v>
      </c>
      <c r="N28" s="748">
        <v>1658.9807136000002</v>
      </c>
      <c r="O28" s="748">
        <v>1692.1603278720002</v>
      </c>
      <c r="P28" s="1416">
        <v>1726.0035344294402</v>
      </c>
      <c r="Q28" s="97"/>
      <c r="R28" s="747">
        <v>1591.44</v>
      </c>
      <c r="S28" s="563"/>
      <c r="T28" s="563"/>
      <c r="U28" s="105"/>
      <c r="V28" s="127"/>
      <c r="W28" s="128"/>
      <c r="Y28" s="561"/>
      <c r="Z28" s="561"/>
      <c r="AA28" s="561"/>
      <c r="AB28" s="561"/>
    </row>
    <row r="29" spans="1:28" ht="12" customHeight="1">
      <c r="A29" s="120" t="s">
        <v>108</v>
      </c>
      <c r="B29" s="102"/>
      <c r="C29" s="970"/>
      <c r="D29" s="970"/>
      <c r="E29" s="970"/>
      <c r="F29" s="103">
        <v>260.52999999999997</v>
      </c>
      <c r="G29" s="104">
        <v>256</v>
      </c>
      <c r="H29" s="104">
        <v>264.23</v>
      </c>
      <c r="I29" s="104">
        <v>269.51460000000003</v>
      </c>
      <c r="J29" s="431">
        <v>278</v>
      </c>
      <c r="K29" s="747">
        <v>169.172</v>
      </c>
      <c r="L29" s="748">
        <v>172.89378400000001</v>
      </c>
      <c r="M29" s="563">
        <f t="shared" si="4"/>
        <v>342.06578400000001</v>
      </c>
      <c r="N29" s="748">
        <v>176.35165968000001</v>
      </c>
      <c r="O29" s="748">
        <v>179.87869287360002</v>
      </c>
      <c r="P29" s="1416">
        <v>183.47626673107203</v>
      </c>
      <c r="Q29" s="97"/>
      <c r="R29" s="747">
        <v>169.172</v>
      </c>
      <c r="S29" s="563"/>
      <c r="T29" s="563"/>
      <c r="U29" s="105"/>
      <c r="V29" s="127"/>
      <c r="W29" s="128"/>
      <c r="Y29" s="561"/>
      <c r="Z29" s="561"/>
      <c r="AA29" s="561"/>
      <c r="AB29" s="561"/>
    </row>
    <row r="30" spans="1:28" ht="12" customHeight="1">
      <c r="A30" s="120" t="s">
        <v>109</v>
      </c>
      <c r="B30" s="102"/>
      <c r="C30" s="970"/>
      <c r="D30" s="970"/>
      <c r="E30" s="970"/>
      <c r="F30" s="103"/>
      <c r="G30" s="104"/>
      <c r="H30" s="104"/>
      <c r="I30" s="104"/>
      <c r="J30" s="431"/>
      <c r="K30" s="747">
        <v>0</v>
      </c>
      <c r="L30" s="748">
        <v>0</v>
      </c>
      <c r="M30" s="563">
        <f t="shared" si="4"/>
        <v>0</v>
      </c>
      <c r="N30" s="748">
        <v>0</v>
      </c>
      <c r="O30" s="748">
        <v>0</v>
      </c>
      <c r="P30" s="1416">
        <v>0</v>
      </c>
      <c r="Q30" s="97"/>
      <c r="R30" s="747">
        <v>0</v>
      </c>
      <c r="S30" s="563"/>
      <c r="T30" s="563"/>
      <c r="U30" s="105"/>
      <c r="V30" s="127"/>
      <c r="W30" s="128"/>
      <c r="Y30" s="561"/>
      <c r="Z30" s="561"/>
      <c r="AA30" s="561"/>
      <c r="AB30" s="561"/>
    </row>
    <row r="31" spans="1:28" s="112" customFormat="1" ht="12" customHeight="1">
      <c r="A31" s="130" t="s">
        <v>110</v>
      </c>
      <c r="B31" s="108"/>
      <c r="C31" s="989"/>
      <c r="D31" s="989"/>
      <c r="E31" s="989"/>
      <c r="F31" s="435">
        <f t="shared" ref="F31:I31" si="5">SUM(F22:F30)</f>
        <v>78883.432385283726</v>
      </c>
      <c r="G31" s="436">
        <f t="shared" si="5"/>
        <v>87160.999999999985</v>
      </c>
      <c r="H31" s="436">
        <f t="shared" si="5"/>
        <v>89201.362079293918</v>
      </c>
      <c r="I31" s="436">
        <f t="shared" si="5"/>
        <v>88377.002463817669</v>
      </c>
      <c r="J31" s="1030">
        <f>SUM(J22:J30)</f>
        <v>90427.183677753608</v>
      </c>
      <c r="K31" s="737">
        <f t="shared" ref="K31:R31" si="6">SUM(K22:K30)</f>
        <v>76155.133472156216</v>
      </c>
      <c r="L31" s="738">
        <f t="shared" si="6"/>
        <v>76828.659400459961</v>
      </c>
      <c r="M31" s="582">
        <f t="shared" si="6"/>
        <v>152983.79287261618</v>
      </c>
      <c r="N31" s="738">
        <f t="shared" si="6"/>
        <v>66429.365881605379</v>
      </c>
      <c r="O31" s="738">
        <f t="shared" si="6"/>
        <v>79353.477049348818</v>
      </c>
      <c r="P31" s="1423">
        <f t="shared" si="6"/>
        <v>80168.797338900709</v>
      </c>
      <c r="Q31" s="97"/>
      <c r="R31" s="737">
        <f t="shared" si="6"/>
        <v>76155.133472156216</v>
      </c>
      <c r="S31" s="567"/>
      <c r="T31" s="567"/>
      <c r="U31" s="131"/>
      <c r="V31" s="111"/>
      <c r="W31" s="132"/>
      <c r="Y31" s="561"/>
      <c r="Z31" s="561"/>
      <c r="AA31" s="561"/>
      <c r="AB31" s="561"/>
    </row>
    <row r="32" spans="1:28" ht="12" customHeight="1">
      <c r="A32" s="113" t="s">
        <v>99</v>
      </c>
      <c r="B32" s="529"/>
      <c r="C32" s="973"/>
      <c r="D32" s="973"/>
      <c r="E32" s="973"/>
      <c r="F32" s="115"/>
      <c r="G32" s="116">
        <f t="shared" ref="G32:J32" si="7">+G31/F31-1</f>
        <v>0.10493417140226402</v>
      </c>
      <c r="H32" s="116">
        <f t="shared" si="7"/>
        <v>2.3409117372379162E-2</v>
      </c>
      <c r="I32" s="116">
        <f t="shared" si="7"/>
        <v>-9.2415586069577449E-3</v>
      </c>
      <c r="J32" s="117">
        <f t="shared" si="7"/>
        <v>2.3198130246330884E-2</v>
      </c>
      <c r="K32" s="739">
        <f t="shared" ref="K32" si="8">K31/J31-1</f>
        <v>-0.15782920163097502</v>
      </c>
      <c r="L32" s="740">
        <f>L31/K31-1</f>
        <v>8.8441303638446822E-3</v>
      </c>
      <c r="M32" s="716"/>
      <c r="N32" s="584">
        <f>N31/L31-1</f>
        <v>-0.13535695663579839</v>
      </c>
      <c r="O32" s="584">
        <f t="shared" ref="O32:P32" si="9">O31/N31-1</f>
        <v>0.19455418543024483</v>
      </c>
      <c r="P32" s="583">
        <f t="shared" si="9"/>
        <v>1.0274537674572981E-2</v>
      </c>
      <c r="Q32" s="97"/>
      <c r="R32" s="739">
        <f>+R31/J31-1</f>
        <v>-0.15782920163097502</v>
      </c>
      <c r="S32" s="116"/>
      <c r="T32" s="116"/>
      <c r="U32" s="116"/>
      <c r="V32" s="204"/>
      <c r="W32" s="205"/>
    </row>
    <row r="33" spans="1:28" ht="12" customHeight="1">
      <c r="A33" s="114"/>
      <c r="B33" s="133"/>
      <c r="C33" s="973"/>
      <c r="D33" s="973"/>
      <c r="E33" s="973"/>
      <c r="F33" s="133"/>
      <c r="G33" s="133"/>
      <c r="H33" s="133"/>
      <c r="I33" s="133"/>
      <c r="J33" s="133"/>
      <c r="K33" s="749"/>
      <c r="L33" s="749"/>
      <c r="M33" s="133"/>
      <c r="N33" s="592"/>
      <c r="O33" s="592"/>
      <c r="P33" s="592"/>
      <c r="Q33" s="97"/>
      <c r="R33" s="749"/>
      <c r="S33" s="133"/>
      <c r="T33" s="133"/>
      <c r="U33" s="119"/>
      <c r="V33" s="119"/>
      <c r="W33" s="119"/>
    </row>
    <row r="34" spans="1:28" ht="15.6" customHeight="1">
      <c r="A34" s="91" t="s">
        <v>111</v>
      </c>
      <c r="B34" s="91"/>
      <c r="C34" s="969"/>
      <c r="D34" s="969"/>
      <c r="E34" s="969"/>
      <c r="F34" s="91"/>
      <c r="G34" s="91"/>
      <c r="H34" s="91"/>
      <c r="I34" s="91"/>
      <c r="J34" s="91"/>
      <c r="K34" s="742"/>
      <c r="L34" s="742"/>
      <c r="M34" s="93"/>
      <c r="N34" s="586"/>
      <c r="O34" s="586"/>
      <c r="P34" s="587"/>
      <c r="Q34" s="97"/>
      <c r="R34" s="742"/>
      <c r="S34" s="93"/>
      <c r="T34" s="93"/>
      <c r="U34" s="93"/>
      <c r="V34" s="93"/>
      <c r="W34" s="93"/>
    </row>
    <row r="35" spans="1:28" ht="12" customHeight="1">
      <c r="A35" s="91" t="s">
        <v>112</v>
      </c>
      <c r="B35" s="91"/>
      <c r="C35" s="969"/>
      <c r="D35" s="969"/>
      <c r="E35" s="969"/>
      <c r="F35" s="91"/>
      <c r="G35" s="91"/>
      <c r="H35" s="91"/>
      <c r="I35" s="91"/>
      <c r="J35" s="91"/>
      <c r="K35" s="742"/>
      <c r="L35" s="742"/>
      <c r="M35" s="93"/>
      <c r="N35" s="586"/>
      <c r="O35" s="586"/>
      <c r="P35" s="586"/>
      <c r="Q35" s="97"/>
      <c r="R35" s="742"/>
      <c r="S35" s="93"/>
      <c r="T35" s="93"/>
      <c r="U35" s="93"/>
      <c r="V35" s="93"/>
      <c r="W35" s="93"/>
    </row>
    <row r="36" spans="1:28" s="83" customFormat="1" ht="12" customHeight="1">
      <c r="A36" s="134" t="s">
        <v>113</v>
      </c>
      <c r="B36" s="959"/>
      <c r="C36" s="971"/>
      <c r="D36" s="971"/>
      <c r="E36" s="971"/>
      <c r="F36" s="121">
        <v>22734.894736842107</v>
      </c>
      <c r="G36" s="564">
        <v>114157</v>
      </c>
      <c r="H36" s="564">
        <v>122119.39473684212</v>
      </c>
      <c r="I36" s="564">
        <v>122231.42105263157</v>
      </c>
      <c r="J36" s="707">
        <v>88353.019620294683</v>
      </c>
      <c r="K36" s="731">
        <f>K16/0.0585</f>
        <v>92487.474978755883</v>
      </c>
      <c r="L36" s="732">
        <f>L16/0.0585</f>
        <v>105988.58413566761</v>
      </c>
      <c r="M36" s="504"/>
      <c r="N36" s="652">
        <f>N16/0.0585</f>
        <v>105735.02943149256</v>
      </c>
      <c r="O36" s="652">
        <f>O16/0.0585</f>
        <v>105350.21439496981</v>
      </c>
      <c r="P36" s="1417">
        <f>P16/0.0585</f>
        <v>98267.034051687529</v>
      </c>
      <c r="Q36" s="97"/>
      <c r="R36" s="812">
        <f>R16/0.0585</f>
        <v>92487.474978755883</v>
      </c>
      <c r="S36" s="564"/>
      <c r="T36" s="564"/>
      <c r="U36" s="564"/>
      <c r="V36" s="135"/>
      <c r="W36" s="136"/>
      <c r="X36" s="74"/>
      <c r="Y36" s="561"/>
      <c r="Z36" s="561"/>
      <c r="AA36" s="561"/>
      <c r="AB36" s="561"/>
    </row>
    <row r="37" spans="1:28" s="83" customFormat="1" ht="12" customHeight="1">
      <c r="A37" s="137" t="s">
        <v>114</v>
      </c>
      <c r="B37" s="959"/>
      <c r="C37" s="971"/>
      <c r="D37" s="971"/>
      <c r="E37" s="971"/>
      <c r="F37" s="125"/>
      <c r="G37" s="563"/>
      <c r="H37" s="563"/>
      <c r="I37" s="563"/>
      <c r="J37" s="706"/>
      <c r="K37" s="747">
        <v>0</v>
      </c>
      <c r="L37" s="748">
        <v>0</v>
      </c>
      <c r="M37" s="720"/>
      <c r="N37" s="632">
        <v>0</v>
      </c>
      <c r="O37" s="632">
        <v>0</v>
      </c>
      <c r="P37" s="633">
        <v>0</v>
      </c>
      <c r="Q37" s="97"/>
      <c r="R37" s="747">
        <v>0</v>
      </c>
      <c r="S37" s="563"/>
      <c r="T37" s="563"/>
      <c r="U37" s="563"/>
      <c r="V37" s="127"/>
      <c r="W37" s="128"/>
      <c r="X37" s="74"/>
      <c r="Y37" s="561"/>
      <c r="Z37" s="561"/>
      <c r="AA37" s="561"/>
      <c r="AB37" s="561"/>
    </row>
    <row r="38" spans="1:28" s="83" customFormat="1" ht="12" customHeight="1">
      <c r="A38" s="137" t="s">
        <v>115</v>
      </c>
      <c r="B38" s="959"/>
      <c r="C38" s="971"/>
      <c r="D38" s="971"/>
      <c r="E38" s="971"/>
      <c r="F38" s="125"/>
      <c r="G38" s="563"/>
      <c r="H38" s="563"/>
      <c r="I38" s="563"/>
      <c r="J38" s="706"/>
      <c r="K38" s="747">
        <v>0</v>
      </c>
      <c r="L38" s="748">
        <v>0</v>
      </c>
      <c r="M38" s="720"/>
      <c r="N38" s="632">
        <v>0</v>
      </c>
      <c r="O38" s="632">
        <v>0</v>
      </c>
      <c r="P38" s="633">
        <v>0</v>
      </c>
      <c r="Q38" s="97"/>
      <c r="R38" s="747">
        <v>0</v>
      </c>
      <c r="S38" s="563"/>
      <c r="T38" s="563"/>
      <c r="U38" s="127"/>
      <c r="V38" s="127"/>
      <c r="W38" s="128"/>
      <c r="X38" s="74"/>
      <c r="Y38" s="561"/>
      <c r="Z38" s="561"/>
      <c r="AA38" s="561"/>
      <c r="AB38" s="561"/>
    </row>
    <row r="39" spans="1:28" s="83" customFormat="1" ht="12" customHeight="1">
      <c r="A39" s="138" t="s">
        <v>116</v>
      </c>
      <c r="B39" s="959"/>
      <c r="C39" s="971"/>
      <c r="D39" s="971"/>
      <c r="E39" s="971"/>
      <c r="F39" s="175">
        <f>SUM(F36:F38)</f>
        <v>22734.894736842107</v>
      </c>
      <c r="G39" s="176">
        <f>SUM(G36:G38)</f>
        <v>114157</v>
      </c>
      <c r="H39" s="176">
        <f>SUM(H36:H38)</f>
        <v>122119.39473684212</v>
      </c>
      <c r="I39" s="176">
        <f>SUM(I36:I38)</f>
        <v>122231.42105263157</v>
      </c>
      <c r="J39" s="220">
        <f>SUM(J36:J38)</f>
        <v>88353.019620294683</v>
      </c>
      <c r="K39" s="754">
        <f t="shared" ref="K39:L39" si="10">SUM(K36:K38)</f>
        <v>92487.474978755883</v>
      </c>
      <c r="L39" s="755">
        <f t="shared" si="10"/>
        <v>105988.58413566761</v>
      </c>
      <c r="M39" s="721"/>
      <c r="N39" s="607">
        <f t="shared" ref="N39:P39" si="11">SUM(N36:N38)</f>
        <v>105735.02943149256</v>
      </c>
      <c r="O39" s="607">
        <f t="shared" si="11"/>
        <v>105350.21439496981</v>
      </c>
      <c r="P39" s="608">
        <f t="shared" si="11"/>
        <v>98267.034051687529</v>
      </c>
      <c r="Q39" s="97"/>
      <c r="R39" s="754">
        <f>SUM(R36:R38)</f>
        <v>92487.474978755883</v>
      </c>
      <c r="S39" s="139"/>
      <c r="T39" s="139"/>
      <c r="U39" s="140"/>
      <c r="V39" s="140"/>
      <c r="W39" s="141"/>
      <c r="X39" s="74"/>
      <c r="Y39" s="561"/>
      <c r="Z39" s="561"/>
      <c r="AA39" s="561"/>
      <c r="AB39" s="561"/>
    </row>
    <row r="40" spans="1:28" ht="12" customHeight="1">
      <c r="A40" s="91" t="s">
        <v>117</v>
      </c>
      <c r="B40" s="91"/>
      <c r="C40" s="969"/>
      <c r="D40" s="969"/>
      <c r="E40" s="969"/>
      <c r="F40" s="91"/>
      <c r="G40" s="91"/>
      <c r="H40" s="91"/>
      <c r="I40" s="91"/>
      <c r="J40" s="91"/>
      <c r="K40" s="756"/>
      <c r="L40" s="756"/>
      <c r="M40" s="142"/>
      <c r="N40" s="595"/>
      <c r="O40" s="595"/>
      <c r="P40" s="595"/>
      <c r="Q40" s="97"/>
      <c r="R40" s="756"/>
      <c r="S40" s="142"/>
      <c r="T40" s="142"/>
      <c r="U40" s="143"/>
      <c r="V40" s="143"/>
      <c r="W40" s="143"/>
      <c r="Y40" s="561"/>
      <c r="Z40" s="561"/>
      <c r="AA40" s="561"/>
      <c r="AB40" s="561"/>
    </row>
    <row r="41" spans="1:28" s="83" customFormat="1" ht="12" customHeight="1">
      <c r="A41" s="144" t="s">
        <v>118</v>
      </c>
      <c r="B41" s="959"/>
      <c r="C41" s="975"/>
      <c r="D41" s="975"/>
      <c r="E41" s="975"/>
      <c r="F41" s="1092">
        <f>IF(F39&gt;0,F16/F39,"")</f>
        <v>7.5999999999999998E-2</v>
      </c>
      <c r="G41" s="1093">
        <f t="shared" ref="G41:I41" si="12">IF(G39&gt;0,G16/G39,"")</f>
        <v>7.5999915808742116E-2</v>
      </c>
      <c r="H41" s="1093">
        <f t="shared" si="12"/>
        <v>7.5999999999999998E-2</v>
      </c>
      <c r="I41" s="1093">
        <f t="shared" si="12"/>
        <v>7.5999999999999998E-2</v>
      </c>
      <c r="J41" s="1094">
        <f>IF(J39&gt;0,J16/J39,"")</f>
        <v>7.5999999999999998E-2</v>
      </c>
      <c r="K41" s="757">
        <v>5.8500000000000003E-2</v>
      </c>
      <c r="L41" s="758">
        <v>5.8500000000000003E-2</v>
      </c>
      <c r="M41" s="719"/>
      <c r="N41" s="645">
        <v>5.8500000000000003E-2</v>
      </c>
      <c r="O41" s="645">
        <v>5.8500000000000003E-2</v>
      </c>
      <c r="P41" s="646">
        <v>5.8500000000000003E-2</v>
      </c>
      <c r="Q41" s="97"/>
      <c r="R41" s="757">
        <v>5.8500000000000003E-2</v>
      </c>
      <c r="S41" s="1093"/>
      <c r="T41" s="1093"/>
      <c r="U41" s="1095"/>
      <c r="V41" s="1095"/>
      <c r="W41" s="1096"/>
      <c r="X41" s="74"/>
    </row>
    <row r="42" spans="1:28" s="83" customFormat="1" ht="12" customHeight="1">
      <c r="A42" s="148" t="s">
        <v>119</v>
      </c>
      <c r="B42" s="959"/>
      <c r="C42" s="975"/>
      <c r="D42" s="975"/>
      <c r="E42" s="975"/>
      <c r="F42" s="1033"/>
      <c r="G42" s="440"/>
      <c r="H42" s="440"/>
      <c r="I42" s="440"/>
      <c r="J42" s="1034"/>
      <c r="K42" s="824"/>
      <c r="L42" s="825"/>
      <c r="M42" s="720"/>
      <c r="N42" s="596"/>
      <c r="O42" s="596"/>
      <c r="P42" s="597"/>
      <c r="Q42" s="97"/>
      <c r="R42" s="824"/>
      <c r="S42" s="440"/>
      <c r="T42" s="440"/>
      <c r="U42" s="441"/>
      <c r="V42" s="441"/>
      <c r="W42" s="442"/>
      <c r="X42" s="74"/>
    </row>
    <row r="43" spans="1:28" s="83" customFormat="1" ht="12" customHeight="1">
      <c r="A43" s="148" t="s">
        <v>120</v>
      </c>
      <c r="B43" s="959"/>
      <c r="C43" s="975"/>
      <c r="D43" s="975"/>
      <c r="E43" s="975"/>
      <c r="F43" s="1033"/>
      <c r="G43" s="440"/>
      <c r="H43" s="440"/>
      <c r="I43" s="440"/>
      <c r="J43" s="1034"/>
      <c r="K43" s="824"/>
      <c r="L43" s="825"/>
      <c r="M43" s="720"/>
      <c r="N43" s="596"/>
      <c r="O43" s="596"/>
      <c r="P43" s="597"/>
      <c r="Q43" s="97"/>
      <c r="R43" s="824"/>
      <c r="S43" s="440"/>
      <c r="T43" s="440"/>
      <c r="U43" s="441"/>
      <c r="V43" s="441"/>
      <c r="W43" s="442"/>
      <c r="X43" s="74"/>
    </row>
    <row r="44" spans="1:28" s="83" customFormat="1" ht="12" customHeight="1">
      <c r="A44" s="153" t="s">
        <v>121</v>
      </c>
      <c r="B44" s="959"/>
      <c r="C44" s="975"/>
      <c r="D44" s="975"/>
      <c r="E44" s="975"/>
      <c r="F44" s="444"/>
      <c r="G44" s="445"/>
      <c r="H44" s="445"/>
      <c r="I44" s="445"/>
      <c r="J44" s="1022"/>
      <c r="K44" s="826"/>
      <c r="L44" s="827"/>
      <c r="M44" s="721"/>
      <c r="N44" s="598"/>
      <c r="O44" s="598"/>
      <c r="P44" s="599"/>
      <c r="Q44" s="97"/>
      <c r="R44" s="826"/>
      <c r="S44" s="445"/>
      <c r="T44" s="445"/>
      <c r="U44" s="446"/>
      <c r="V44" s="447"/>
      <c r="W44" s="448"/>
      <c r="X44" s="74"/>
    </row>
    <row r="45" spans="1:28" s="83" customFormat="1" ht="5.65" customHeight="1">
      <c r="A45" s="93"/>
      <c r="B45" s="79"/>
      <c r="C45" s="963"/>
      <c r="D45" s="963"/>
      <c r="E45" s="963"/>
      <c r="F45" s="79"/>
      <c r="G45" s="79"/>
      <c r="H45" s="79"/>
      <c r="I45" s="79"/>
      <c r="J45" s="79"/>
      <c r="K45" s="763"/>
      <c r="L45" s="763"/>
      <c r="M45" s="159"/>
      <c r="N45" s="601"/>
      <c r="O45" s="601"/>
      <c r="P45" s="601"/>
      <c r="Q45" s="97"/>
      <c r="R45" s="763"/>
      <c r="S45" s="159"/>
      <c r="T45" s="159"/>
      <c r="U45" s="160"/>
      <c r="V45" s="161"/>
      <c r="W45" s="161"/>
      <c r="X45" s="74"/>
    </row>
    <row r="46" spans="1:28" s="451" customFormat="1" ht="12" customHeight="1">
      <c r="A46" s="162" t="s">
        <v>122</v>
      </c>
      <c r="B46" s="79"/>
      <c r="C46" s="963"/>
      <c r="D46" s="963"/>
      <c r="E46" s="963"/>
      <c r="F46" s="79"/>
      <c r="G46" s="79"/>
      <c r="H46" s="79"/>
      <c r="I46" s="79"/>
      <c r="J46" s="79"/>
      <c r="K46" s="764"/>
      <c r="L46" s="764"/>
      <c r="M46" s="118"/>
      <c r="N46" s="602"/>
      <c r="O46" s="602"/>
      <c r="P46" s="602"/>
      <c r="Q46" s="97"/>
      <c r="R46" s="764"/>
      <c r="S46" s="118"/>
      <c r="T46" s="118"/>
      <c r="U46" s="449"/>
      <c r="V46" s="449"/>
      <c r="W46" s="449"/>
      <c r="X46" s="450"/>
    </row>
    <row r="47" spans="1:28" s="450" customFormat="1" ht="12" customHeight="1">
      <c r="A47" s="163" t="s">
        <v>123</v>
      </c>
      <c r="B47" s="960"/>
      <c r="C47" s="977"/>
      <c r="D47" s="977"/>
      <c r="E47" s="977"/>
      <c r="F47" s="999"/>
      <c r="G47" s="165"/>
      <c r="H47" s="165"/>
      <c r="I47" s="165"/>
      <c r="J47" s="1000"/>
      <c r="K47" s="933">
        <v>0</v>
      </c>
      <c r="L47" s="934">
        <v>0</v>
      </c>
      <c r="M47" s="165">
        <f>K47+L47</f>
        <v>0</v>
      </c>
      <c r="N47" s="935">
        <v>0</v>
      </c>
      <c r="O47" s="935">
        <v>0</v>
      </c>
      <c r="P47" s="936">
        <v>0</v>
      </c>
      <c r="Q47" s="97"/>
      <c r="R47" s="933">
        <v>0</v>
      </c>
      <c r="S47" s="165"/>
      <c r="T47" s="165"/>
      <c r="U47" s="165"/>
      <c r="V47" s="452"/>
      <c r="W47" s="453"/>
      <c r="Y47" s="561"/>
      <c r="Z47" s="561"/>
      <c r="AA47" s="561"/>
      <c r="AB47" s="561"/>
    </row>
    <row r="48" spans="1:28" s="83" customFormat="1" ht="5.65" customHeight="1">
      <c r="A48" s="93"/>
      <c r="B48" s="79"/>
      <c r="C48" s="971"/>
      <c r="D48" s="971"/>
      <c r="E48" s="971"/>
      <c r="F48" s="107"/>
      <c r="G48" s="107"/>
      <c r="H48" s="107"/>
      <c r="I48" s="107"/>
      <c r="J48" s="107"/>
      <c r="K48" s="830"/>
      <c r="L48" s="830"/>
      <c r="M48" s="159"/>
      <c r="N48" s="603"/>
      <c r="O48" s="603"/>
      <c r="P48" s="603"/>
      <c r="Q48" s="97"/>
      <c r="R48" s="830"/>
      <c r="S48" s="454"/>
      <c r="T48" s="454"/>
      <c r="U48" s="455"/>
      <c r="V48" s="456"/>
      <c r="W48" s="456"/>
      <c r="X48" s="74"/>
    </row>
    <row r="49" spans="1:28" s="459" customFormat="1" ht="12" customHeight="1">
      <c r="A49" s="166" t="s">
        <v>124</v>
      </c>
      <c r="B49" s="75"/>
      <c r="C49" s="971"/>
      <c r="D49" s="971"/>
      <c r="E49" s="971"/>
      <c r="F49" s="457"/>
      <c r="G49" s="457"/>
      <c r="H49" s="457"/>
      <c r="I49" s="457"/>
      <c r="J49" s="457"/>
      <c r="K49" s="831"/>
      <c r="L49" s="831"/>
      <c r="M49" s="167"/>
      <c r="N49" s="604"/>
      <c r="O49" s="604"/>
      <c r="P49" s="604"/>
      <c r="Q49" s="97"/>
      <c r="R49" s="831"/>
      <c r="S49" s="457"/>
      <c r="T49" s="457"/>
      <c r="U49" s="458"/>
      <c r="V49" s="458"/>
      <c r="W49" s="458"/>
    </row>
    <row r="50" spans="1:28" s="83" customFormat="1" ht="12" customHeight="1">
      <c r="A50" s="134" t="s">
        <v>125</v>
      </c>
      <c r="B50" s="959"/>
      <c r="C50" s="971"/>
      <c r="D50" s="971"/>
      <c r="E50" s="971"/>
      <c r="F50" s="523"/>
      <c r="G50" s="504"/>
      <c r="H50" s="504"/>
      <c r="I50" s="504"/>
      <c r="J50" s="956"/>
      <c r="K50" s="1156">
        <f>+K15</f>
        <v>8954.5314714276319</v>
      </c>
      <c r="L50" s="652">
        <f>+L15</f>
        <v>7102.1755661971183</v>
      </c>
      <c r="M50" s="564">
        <f>K50+L50</f>
        <v>16056.70703762475</v>
      </c>
      <c r="N50" s="652">
        <f>+N15</f>
        <v>5256.9179717844527</v>
      </c>
      <c r="O50" s="652">
        <f t="shared" ref="O50:P50" si="13">+O15</f>
        <v>8064.1175532806956</v>
      </c>
      <c r="P50" s="1417">
        <f t="shared" si="13"/>
        <v>7906.0026495071124</v>
      </c>
      <c r="Q50" s="1156"/>
      <c r="R50" s="812">
        <f>+R15</f>
        <v>8954.5314714276319</v>
      </c>
      <c r="S50" s="564"/>
      <c r="T50" s="564"/>
      <c r="U50" s="564"/>
      <c r="V50" s="564"/>
      <c r="W50" s="460"/>
      <c r="X50" s="74"/>
      <c r="Y50" s="561"/>
      <c r="Z50" s="561"/>
      <c r="AA50" s="561"/>
      <c r="AB50" s="561"/>
    </row>
    <row r="51" spans="1:28" s="83" customFormat="1" ht="12" customHeight="1">
      <c r="A51" s="137" t="s">
        <v>126</v>
      </c>
      <c r="B51" s="959"/>
      <c r="C51" s="971"/>
      <c r="D51" s="971"/>
      <c r="E51" s="971"/>
      <c r="F51" s="480"/>
      <c r="G51" s="481"/>
      <c r="H51" s="481"/>
      <c r="I51" s="481"/>
      <c r="J51" s="708"/>
      <c r="K51" s="1157">
        <f>+K36*K41</f>
        <v>5410.5172862572199</v>
      </c>
      <c r="L51" s="748">
        <f>+L36*L41</f>
        <v>6200.3321719365558</v>
      </c>
      <c r="M51" s="563">
        <f>K51+L51</f>
        <v>11610.849458193776</v>
      </c>
      <c r="N51" s="748">
        <f>+N36*N41</f>
        <v>6185.4992217423151</v>
      </c>
      <c r="O51" s="748">
        <f t="shared" ref="O51:P51" si="14">+O36*O41</f>
        <v>6162.9875421057341</v>
      </c>
      <c r="P51" s="1416">
        <f t="shared" si="14"/>
        <v>5748.6214920237207</v>
      </c>
      <c r="Q51" s="1157"/>
      <c r="R51" s="747">
        <f>+R36*R41</f>
        <v>5410.5172862572199</v>
      </c>
      <c r="S51" s="563"/>
      <c r="T51" s="563"/>
      <c r="U51" s="563"/>
      <c r="V51" s="563"/>
      <c r="W51" s="461"/>
      <c r="X51" s="74"/>
      <c r="Y51" s="561"/>
      <c r="Z51" s="561"/>
      <c r="AA51" s="561"/>
      <c r="AB51" s="561"/>
    </row>
    <row r="52" spans="1:28" s="83" customFormat="1" ht="12" customHeight="1">
      <c r="A52" s="153" t="s">
        <v>127</v>
      </c>
      <c r="B52" s="959"/>
      <c r="C52" s="971"/>
      <c r="D52" s="971"/>
      <c r="E52" s="971"/>
      <c r="F52" s="1007"/>
      <c r="G52" s="1008"/>
      <c r="H52" s="1008"/>
      <c r="I52" s="1008"/>
      <c r="J52" s="1023"/>
      <c r="K52" s="1158">
        <v>0</v>
      </c>
      <c r="L52" s="817">
        <v>0</v>
      </c>
      <c r="M52" s="139">
        <f>K52+L52</f>
        <v>0</v>
      </c>
      <c r="N52" s="817">
        <v>0</v>
      </c>
      <c r="O52" s="817">
        <v>0</v>
      </c>
      <c r="P52" s="1422">
        <v>0</v>
      </c>
      <c r="Q52" s="1158"/>
      <c r="R52" s="816">
        <v>0</v>
      </c>
      <c r="S52" s="139"/>
      <c r="T52" s="139"/>
      <c r="U52" s="139"/>
      <c r="V52" s="139"/>
      <c r="W52" s="168"/>
      <c r="X52" s="74"/>
      <c r="Y52" s="561"/>
      <c r="Z52" s="561"/>
      <c r="AA52" s="561"/>
      <c r="AB52" s="561"/>
    </row>
    <row r="53" spans="1:28" s="83" customFormat="1" ht="5.65" customHeight="1">
      <c r="A53" s="93"/>
      <c r="B53" s="79"/>
      <c r="C53" s="963"/>
      <c r="D53" s="963"/>
      <c r="E53" s="963"/>
      <c r="F53" s="79"/>
      <c r="G53" s="79"/>
      <c r="H53" s="79"/>
      <c r="I53" s="79"/>
      <c r="J53" s="79"/>
      <c r="K53" s="763"/>
      <c r="L53" s="763"/>
      <c r="M53" s="159"/>
      <c r="N53" s="601"/>
      <c r="O53" s="601"/>
      <c r="P53" s="601"/>
      <c r="Q53" s="97"/>
      <c r="R53" s="763"/>
      <c r="S53" s="159"/>
      <c r="T53" s="159"/>
      <c r="U53" s="160"/>
      <c r="V53" s="161"/>
      <c r="W53" s="161"/>
      <c r="X53" s="74"/>
    </row>
    <row r="54" spans="1:28" s="459" customFormat="1" ht="12" customHeight="1">
      <c r="A54" s="166" t="s">
        <v>128</v>
      </c>
      <c r="B54" s="75"/>
      <c r="C54" s="963"/>
      <c r="D54" s="963"/>
      <c r="E54" s="963"/>
      <c r="F54" s="75"/>
      <c r="G54" s="75"/>
      <c r="H54" s="75"/>
      <c r="I54" s="75"/>
      <c r="J54" s="75"/>
      <c r="K54" s="765"/>
      <c r="L54" s="765"/>
      <c r="M54" s="167"/>
      <c r="N54" s="605"/>
      <c r="O54" s="605"/>
      <c r="P54" s="605"/>
      <c r="Q54" s="97"/>
      <c r="R54" s="765"/>
      <c r="S54" s="167"/>
      <c r="T54" s="167"/>
      <c r="U54" s="462"/>
      <c r="V54" s="462"/>
      <c r="W54" s="462"/>
    </row>
    <row r="55" spans="1:28" s="463" customFormat="1" ht="12" customHeight="1">
      <c r="A55" s="169" t="s">
        <v>129</v>
      </c>
      <c r="B55" s="960"/>
      <c r="C55" s="976"/>
      <c r="D55" s="976"/>
      <c r="E55" s="976"/>
      <c r="F55" s="1001"/>
      <c r="G55" s="509"/>
      <c r="H55" s="509"/>
      <c r="I55" s="509"/>
      <c r="J55" s="1029"/>
      <c r="K55" s="1019"/>
      <c r="L55" s="1020"/>
      <c r="M55" s="509"/>
      <c r="N55" s="1021"/>
      <c r="O55" s="1021"/>
      <c r="P55" s="1018"/>
      <c r="Q55" s="97"/>
      <c r="R55" s="1019"/>
      <c r="S55" s="509"/>
      <c r="T55" s="509"/>
      <c r="U55" s="511"/>
      <c r="V55" s="511"/>
      <c r="W55" s="512"/>
      <c r="Y55" s="561"/>
      <c r="Z55" s="561"/>
      <c r="AA55" s="561"/>
      <c r="AB55" s="561"/>
    </row>
    <row r="56" spans="1:28" s="83" customFormat="1" ht="12" customHeight="1">
      <c r="A56" s="137" t="s">
        <v>130</v>
      </c>
      <c r="B56" s="959"/>
      <c r="C56" s="971"/>
      <c r="D56" s="971"/>
      <c r="E56" s="971"/>
      <c r="F56" s="480"/>
      <c r="G56" s="481"/>
      <c r="H56" s="481"/>
      <c r="I56" s="481"/>
      <c r="J56" s="708"/>
      <c r="K56" s="745"/>
      <c r="L56" s="746"/>
      <c r="M56" s="481"/>
      <c r="N56" s="653"/>
      <c r="O56" s="653"/>
      <c r="P56" s="578"/>
      <c r="Q56" s="97"/>
      <c r="R56" s="745"/>
      <c r="S56" s="481"/>
      <c r="T56" s="481"/>
      <c r="U56" s="513"/>
      <c r="V56" s="513"/>
      <c r="W56" s="514"/>
      <c r="X56" s="74"/>
      <c r="Y56" s="561"/>
      <c r="Z56" s="561"/>
      <c r="AA56" s="561"/>
      <c r="AB56" s="561"/>
    </row>
    <row r="57" spans="1:28" s="83" customFormat="1" ht="12" customHeight="1">
      <c r="A57" s="153" t="s">
        <v>131</v>
      </c>
      <c r="B57" s="959"/>
      <c r="C57" s="971"/>
      <c r="D57" s="971"/>
      <c r="E57" s="971"/>
      <c r="F57" s="1007"/>
      <c r="G57" s="1008"/>
      <c r="H57" s="1008"/>
      <c r="I57" s="1008"/>
      <c r="J57" s="1023"/>
      <c r="K57" s="1014"/>
      <c r="L57" s="1015"/>
      <c r="M57" s="1008"/>
      <c r="N57" s="932"/>
      <c r="O57" s="932"/>
      <c r="P57" s="1009"/>
      <c r="Q57" s="97"/>
      <c r="R57" s="1014"/>
      <c r="S57" s="1008"/>
      <c r="T57" s="1008"/>
      <c r="U57" s="1008"/>
      <c r="V57" s="447"/>
      <c r="W57" s="448"/>
      <c r="X57" s="74"/>
      <c r="Y57" s="561"/>
      <c r="Z57" s="561"/>
      <c r="AA57" s="561"/>
      <c r="AB57" s="561"/>
    </row>
    <row r="58" spans="1:28" ht="12" customHeight="1">
      <c r="A58" s="170"/>
      <c r="B58" s="171"/>
      <c r="C58" s="992"/>
      <c r="D58" s="992"/>
      <c r="E58" s="992"/>
      <c r="F58" s="464"/>
      <c r="G58" s="464"/>
      <c r="H58" s="464"/>
      <c r="I58" s="464"/>
      <c r="J58" s="464"/>
      <c r="K58" s="833"/>
      <c r="L58" s="833"/>
      <c r="M58" s="172"/>
      <c r="N58" s="606"/>
      <c r="O58" s="606"/>
      <c r="P58" s="606"/>
      <c r="Q58" s="97"/>
      <c r="R58" s="833"/>
      <c r="S58" s="465"/>
      <c r="T58" s="465"/>
      <c r="U58" s="466"/>
      <c r="V58" s="467"/>
      <c r="W58" s="467"/>
    </row>
    <row r="59" spans="1:28" ht="15.6" customHeight="1">
      <c r="A59" s="91" t="s">
        <v>132</v>
      </c>
      <c r="B59" s="91"/>
      <c r="C59" s="993"/>
      <c r="D59" s="993"/>
      <c r="E59" s="993"/>
      <c r="F59" s="216"/>
      <c r="G59" s="216"/>
      <c r="H59" s="216"/>
      <c r="I59" s="216"/>
      <c r="J59" s="216"/>
      <c r="K59" s="834"/>
      <c r="L59" s="834"/>
      <c r="M59" s="93"/>
      <c r="N59" s="587"/>
      <c r="O59" s="587"/>
      <c r="P59" s="587"/>
      <c r="Q59" s="97"/>
      <c r="R59" s="834"/>
      <c r="S59" s="92"/>
      <c r="T59" s="92"/>
      <c r="U59" s="94"/>
      <c r="V59" s="94"/>
      <c r="W59" s="94"/>
    </row>
    <row r="60" spans="1:28" ht="12" customHeight="1">
      <c r="A60" s="173" t="s">
        <v>133</v>
      </c>
      <c r="B60" s="959"/>
      <c r="C60" s="971"/>
      <c r="D60" s="971"/>
      <c r="E60" s="971"/>
      <c r="F60" s="121">
        <v>197.20858096320933</v>
      </c>
      <c r="G60" s="564">
        <v>217.90249999999997</v>
      </c>
      <c r="H60" s="564">
        <v>223.00340519823484</v>
      </c>
      <c r="I60" s="564">
        <v>220.94250615954417</v>
      </c>
      <c r="J60" s="707">
        <v>226.06795919438403</v>
      </c>
      <c r="K60" s="812">
        <f>K31*0.25%</f>
        <v>190.38783368039054</v>
      </c>
      <c r="L60" s="812">
        <f>L31*0.25%</f>
        <v>192.07164850114989</v>
      </c>
      <c r="M60" s="564">
        <f>K60+L60</f>
        <v>382.45948218154047</v>
      </c>
      <c r="N60" s="812">
        <f>N31*0.25%</f>
        <v>166.07341470401346</v>
      </c>
      <c r="O60" s="812">
        <f>O31*0.25%</f>
        <v>198.38369262337204</v>
      </c>
      <c r="P60" s="812">
        <f>P31*0.25%</f>
        <v>200.42199334725177</v>
      </c>
      <c r="Q60" s="97"/>
      <c r="R60" s="812">
        <f>R31*0.25%</f>
        <v>190.38783368039054</v>
      </c>
      <c r="S60" s="564"/>
      <c r="T60" s="564"/>
      <c r="U60" s="100"/>
      <c r="V60" s="123"/>
      <c r="W60" s="124"/>
      <c r="Y60" s="561"/>
      <c r="Z60" s="561"/>
      <c r="AA60" s="561"/>
      <c r="AB60" s="561"/>
    </row>
    <row r="61" spans="1:28" s="112" customFormat="1" ht="12" customHeight="1">
      <c r="A61" s="174" t="s">
        <v>134</v>
      </c>
      <c r="B61" s="961"/>
      <c r="C61" s="972"/>
      <c r="D61" s="972"/>
      <c r="E61" s="972"/>
      <c r="F61" s="175">
        <f t="shared" ref="F61:R61" si="15">F18-F60</f>
        <v>78686.2238043205</v>
      </c>
      <c r="G61" s="176">
        <f t="shared" si="15"/>
        <v>86943.097499999989</v>
      </c>
      <c r="H61" s="176">
        <f t="shared" si="15"/>
        <v>88978.358674095711</v>
      </c>
      <c r="I61" s="176">
        <f t="shared" si="15"/>
        <v>88156.05995765813</v>
      </c>
      <c r="J61" s="220">
        <f t="shared" si="15"/>
        <v>90201.115718559231</v>
      </c>
      <c r="K61" s="754">
        <f t="shared" si="15"/>
        <v>75964.745638475826</v>
      </c>
      <c r="L61" s="755">
        <f t="shared" si="15"/>
        <v>76636.58775195881</v>
      </c>
      <c r="M61" s="607">
        <f>M18-M60</f>
        <v>152601.33339043462</v>
      </c>
      <c r="N61" s="607">
        <f t="shared" si="15"/>
        <v>66263.292466901359</v>
      </c>
      <c r="O61" s="607">
        <f t="shared" si="15"/>
        <v>79155.09335672544</v>
      </c>
      <c r="P61" s="608">
        <f t="shared" si="15"/>
        <v>79968.375345553475</v>
      </c>
      <c r="Q61" s="97"/>
      <c r="R61" s="754">
        <f t="shared" si="15"/>
        <v>75964.745638475826</v>
      </c>
      <c r="S61" s="176"/>
      <c r="T61" s="176"/>
      <c r="U61" s="468"/>
      <c r="V61" s="177"/>
      <c r="W61" s="178"/>
      <c r="Y61" s="561"/>
      <c r="Z61" s="561"/>
      <c r="AA61" s="561"/>
      <c r="AB61" s="561"/>
    </row>
    <row r="62" spans="1:28" s="179" customFormat="1" ht="12" customHeight="1">
      <c r="A62" s="93"/>
      <c r="B62" s="79"/>
      <c r="C62" s="963"/>
      <c r="D62" s="963"/>
      <c r="E62" s="963"/>
      <c r="F62" s="79"/>
      <c r="G62" s="79"/>
      <c r="H62" s="79"/>
      <c r="I62" s="79"/>
      <c r="J62" s="79"/>
      <c r="K62" s="835"/>
      <c r="L62" s="835"/>
      <c r="M62" s="217"/>
      <c r="N62" s="600"/>
      <c r="O62" s="600"/>
      <c r="P62" s="600"/>
      <c r="Q62" s="97"/>
      <c r="R62" s="835"/>
      <c r="S62" s="217"/>
      <c r="T62" s="217"/>
      <c r="U62" s="218"/>
      <c r="V62" s="218"/>
      <c r="W62" s="218"/>
      <c r="X62" s="74"/>
    </row>
    <row r="63" spans="1:28" ht="15.6" customHeight="1">
      <c r="A63" s="91" t="s">
        <v>135</v>
      </c>
      <c r="B63" s="91"/>
      <c r="C63" s="969"/>
      <c r="D63" s="969"/>
      <c r="E63" s="969"/>
      <c r="F63" s="91"/>
      <c r="G63" s="91"/>
      <c r="H63" s="91"/>
      <c r="I63" s="91"/>
      <c r="J63" s="91"/>
      <c r="K63" s="742"/>
      <c r="L63" s="742"/>
      <c r="M63" s="93"/>
      <c r="N63" s="586"/>
      <c r="O63" s="586"/>
      <c r="P63" s="587"/>
      <c r="Q63" s="97"/>
      <c r="R63" s="742"/>
      <c r="S63" s="93"/>
      <c r="T63" s="93"/>
      <c r="U63" s="94"/>
      <c r="V63" s="94"/>
      <c r="W63" s="94"/>
    </row>
    <row r="64" spans="1:28" s="184" customFormat="1" ht="12" customHeight="1">
      <c r="A64" s="134" t="s">
        <v>136</v>
      </c>
      <c r="B64" s="79"/>
      <c r="C64" s="979"/>
      <c r="D64" s="979"/>
      <c r="E64" s="979"/>
      <c r="F64" s="180">
        <f>'T1'!F64</f>
        <v>0.02</v>
      </c>
      <c r="G64" s="181">
        <f>'T1'!G64</f>
        <v>3.9E-2</v>
      </c>
      <c r="H64" s="181">
        <f>'T1'!H64</f>
        <v>1.9E-2</v>
      </c>
      <c r="I64" s="181">
        <f>'T1'!I64</f>
        <v>0.03</v>
      </c>
      <c r="J64" s="927">
        <f>'T1'!J64</f>
        <v>2.3E-2</v>
      </c>
      <c r="K64" s="1046">
        <f>'T1'!K64</f>
        <v>1.2E-2</v>
      </c>
      <c r="L64" s="1036">
        <f>'T1'!L64</f>
        <v>2.1999999999999999E-2</v>
      </c>
      <c r="M64" s="533"/>
      <c r="N64" s="181">
        <f>'T1'!N64</f>
        <v>0.02</v>
      </c>
      <c r="O64" s="181">
        <f>'T1'!O64</f>
        <v>0.02</v>
      </c>
      <c r="P64" s="927">
        <f>'T1'!P64</f>
        <v>0.02</v>
      </c>
      <c r="Q64" s="97"/>
      <c r="R64" s="1035">
        <f>'T1'!R64</f>
        <v>1.2E-2</v>
      </c>
      <c r="S64" s="1036"/>
      <c r="T64" s="1036"/>
      <c r="U64" s="181"/>
      <c r="V64" s="181"/>
      <c r="W64" s="927"/>
      <c r="X64" s="74"/>
      <c r="Y64" s="561"/>
      <c r="Z64" s="561"/>
      <c r="AA64" s="561"/>
      <c r="AB64" s="561"/>
    </row>
    <row r="65" spans="1:28" s="179" customFormat="1" ht="12" customHeight="1">
      <c r="A65" s="137" t="s">
        <v>137</v>
      </c>
      <c r="B65" s="79"/>
      <c r="C65" s="980"/>
      <c r="D65" s="980"/>
      <c r="E65" s="980"/>
      <c r="F65" s="185">
        <f>'T1'!F65</f>
        <v>94.45180643802405</v>
      </c>
      <c r="G65" s="570">
        <f>'T1'!G65</f>
        <v>98.135426889106981</v>
      </c>
      <c r="H65" s="570">
        <f>'T1'!H65</f>
        <v>100</v>
      </c>
      <c r="I65" s="570">
        <f>'T1'!I65</f>
        <v>103</v>
      </c>
      <c r="J65" s="928">
        <f>'T1'!J65</f>
        <v>105.36899999999999</v>
      </c>
      <c r="K65" s="1037">
        <f>'T1'!K65</f>
        <v>106.63342799999998</v>
      </c>
      <c r="L65" s="1038">
        <f>'T1'!L65</f>
        <v>108.97936341599998</v>
      </c>
      <c r="M65" s="536"/>
      <c r="N65" s="570">
        <f>'T1'!N65</f>
        <v>111.15895068431999</v>
      </c>
      <c r="O65" s="570">
        <f>'T1'!O65</f>
        <v>113.38212969800639</v>
      </c>
      <c r="P65" s="928">
        <f>'T1'!P65</f>
        <v>115.64977229196653</v>
      </c>
      <c r="Q65" s="97"/>
      <c r="R65" s="1037">
        <f>'T1'!R65</f>
        <v>106.63342799999998</v>
      </c>
      <c r="S65" s="1038"/>
      <c r="T65" s="1038"/>
      <c r="U65" s="570"/>
      <c r="V65" s="570"/>
      <c r="W65" s="928"/>
      <c r="X65" s="74"/>
      <c r="Y65" s="561"/>
      <c r="Z65" s="561"/>
      <c r="AA65" s="561"/>
      <c r="AB65" s="561"/>
    </row>
    <row r="66" spans="1:28" s="179" customFormat="1" ht="12" customHeight="1">
      <c r="A66" s="188" t="s">
        <v>138</v>
      </c>
      <c r="B66" s="189"/>
      <c r="C66" s="972"/>
      <c r="D66" s="972"/>
      <c r="E66" s="972"/>
      <c r="F66" s="109">
        <f t="shared" ref="F66:L66" si="16">((F61-F15-F16-F29-F30+F79+F80)/(F65/100))+F15+F16+F29+F30-F79-F80</f>
        <v>82958.489111086208</v>
      </c>
      <c r="G66" s="567">
        <f t="shared" si="16"/>
        <v>88219.160322439406</v>
      </c>
      <c r="H66" s="131">
        <f t="shared" si="16"/>
        <v>88978.358674095725</v>
      </c>
      <c r="I66" s="567">
        <f t="shared" si="16"/>
        <v>86210.611588017608</v>
      </c>
      <c r="J66" s="219">
        <f t="shared" si="16"/>
        <v>86481.558454377082</v>
      </c>
      <c r="K66" s="1047">
        <f t="shared" si="16"/>
        <v>72143.289539372141</v>
      </c>
      <c r="L66" s="1041">
        <f t="shared" si="16"/>
        <v>71432.416731264573</v>
      </c>
      <c r="M66" s="131">
        <f>K66+L66</f>
        <v>143575.7062706367</v>
      </c>
      <c r="N66" s="131">
        <f t="shared" ref="N66:P66" si="17">((N61-N15-N16-N29-N30+N79+N80)/(N65/100))+N15+N16+N29+N30-N79-N80</f>
        <v>60777.674435969442</v>
      </c>
      <c r="O66" s="131">
        <f t="shared" si="17"/>
        <v>71513.081319610137</v>
      </c>
      <c r="P66" s="1048">
        <f t="shared" si="17"/>
        <v>71019.600749084653</v>
      </c>
      <c r="Q66" s="97"/>
      <c r="R66" s="1049">
        <f t="shared" ref="R66" si="18">((R61-R15-R16-R29-R30+R79+R80)/(R65/100))+R15+R16+R29+R30-R79-R80</f>
        <v>72143.289539372141</v>
      </c>
      <c r="S66" s="1041"/>
      <c r="T66" s="1041"/>
      <c r="U66" s="131"/>
      <c r="V66" s="131"/>
      <c r="W66" s="1048"/>
      <c r="X66" s="74"/>
      <c r="Y66" s="561"/>
      <c r="Z66" s="561"/>
      <c r="AA66" s="561"/>
      <c r="AB66" s="561"/>
    </row>
    <row r="67" spans="1:28" s="179" customFormat="1" ht="12" customHeight="1">
      <c r="A67" s="192" t="s">
        <v>99</v>
      </c>
      <c r="B67" s="79"/>
      <c r="C67" s="981"/>
      <c r="D67" s="981"/>
      <c r="E67" s="981"/>
      <c r="F67" s="1002"/>
      <c r="G67" s="193">
        <f t="shared" ref="G67:L67" si="19">G66/F66-1</f>
        <v>6.3413295826890703E-2</v>
      </c>
      <c r="H67" s="571">
        <f t="shared" si="19"/>
        <v>8.6058215571476193E-3</v>
      </c>
      <c r="I67" s="571">
        <f t="shared" si="19"/>
        <v>-3.1105845593484616E-2</v>
      </c>
      <c r="J67" s="929">
        <f t="shared" si="19"/>
        <v>3.1428482105460009E-3</v>
      </c>
      <c r="K67" s="1050">
        <f t="shared" si="19"/>
        <v>-0.16579568142922663</v>
      </c>
      <c r="L67" s="1042">
        <f t="shared" si="19"/>
        <v>-9.8536234297940117E-3</v>
      </c>
      <c r="M67" s="718"/>
      <c r="N67" s="571">
        <f>N66/L66-1</f>
        <v>-0.14915836230739987</v>
      </c>
      <c r="O67" s="571">
        <f t="shared" ref="O67:P67" si="20">O66/N66-1</f>
        <v>0.17663405161957413</v>
      </c>
      <c r="P67" s="1051">
        <f t="shared" si="20"/>
        <v>-6.9005636649887014E-3</v>
      </c>
      <c r="Q67" s="97"/>
      <c r="R67" s="1052">
        <f>+R66/J66-1</f>
        <v>-0.16579568142922663</v>
      </c>
      <c r="S67" s="1042"/>
      <c r="T67" s="1042"/>
      <c r="U67" s="571"/>
      <c r="V67" s="571"/>
      <c r="W67" s="1051"/>
      <c r="X67" s="74"/>
      <c r="Y67" s="561"/>
      <c r="Z67" s="561"/>
      <c r="AA67" s="561"/>
      <c r="AB67" s="561"/>
    </row>
    <row r="68" spans="1:28" s="179" customFormat="1" ht="12" customHeight="1">
      <c r="A68" s="196" t="s">
        <v>139</v>
      </c>
      <c r="B68" s="197"/>
      <c r="C68" s="982"/>
      <c r="D68" s="982"/>
      <c r="E68" s="982"/>
      <c r="F68" s="198">
        <f>'T1'!F68</f>
        <v>246.09299999999999</v>
      </c>
      <c r="G68" s="111">
        <f>'T1'!G68</f>
        <v>245.18199999999999</v>
      </c>
      <c r="H68" s="572">
        <f>'T1'!H68</f>
        <v>249.824836137597</v>
      </c>
      <c r="I68" s="572">
        <f>'T1'!I68</f>
        <v>256.3</v>
      </c>
      <c r="J68" s="930">
        <f>'T1'!J68</f>
        <v>256.00565702730603</v>
      </c>
      <c r="K68" s="1053">
        <f>'T1'!K68</f>
        <v>134.32968502803001</v>
      </c>
      <c r="L68" s="1043">
        <f>'T1'!L68</f>
        <v>139.24003148171201</v>
      </c>
      <c r="M68" s="111">
        <f>K68+L68</f>
        <v>273.56971650974202</v>
      </c>
      <c r="N68" s="572">
        <f>'T1'!N68</f>
        <v>204.80311130053201</v>
      </c>
      <c r="O68" s="572">
        <f>'T1'!O68</f>
        <v>240.42251109710699</v>
      </c>
      <c r="P68" s="930">
        <f>'T1'!P68</f>
        <v>258.33819951035298</v>
      </c>
      <c r="Q68" s="97"/>
      <c r="R68" s="1054">
        <f>'T1'!R68</f>
        <v>134.32968502803001</v>
      </c>
      <c r="S68" s="1043"/>
      <c r="T68" s="1043"/>
      <c r="U68" s="572"/>
      <c r="V68" s="572"/>
      <c r="W68" s="930"/>
      <c r="X68" s="74"/>
      <c r="Y68" s="561"/>
      <c r="Z68" s="561"/>
      <c r="AA68" s="561"/>
      <c r="AB68" s="561"/>
    </row>
    <row r="69" spans="1:28" s="179" customFormat="1" ht="12" customHeight="1">
      <c r="A69" s="192" t="s">
        <v>99</v>
      </c>
      <c r="B69" s="197"/>
      <c r="C69" s="981"/>
      <c r="D69" s="981"/>
      <c r="E69" s="981"/>
      <c r="F69" s="1002"/>
      <c r="G69" s="193">
        <f t="shared" ref="G69:L69" si="21">G68/F68-1</f>
        <v>-3.7018525516776535E-3</v>
      </c>
      <c r="H69" s="571">
        <f t="shared" si="21"/>
        <v>1.8936284627733668E-2</v>
      </c>
      <c r="I69" s="571">
        <f t="shared" si="21"/>
        <v>2.5918815609015988E-2</v>
      </c>
      <c r="J69" s="929">
        <f t="shared" si="21"/>
        <v>-1.14843141901666E-3</v>
      </c>
      <c r="K69" s="1050">
        <f t="shared" si="21"/>
        <v>-0.47528626285901887</v>
      </c>
      <c r="L69" s="1042">
        <f t="shared" si="21"/>
        <v>3.6554440313452563E-2</v>
      </c>
      <c r="M69" s="718"/>
      <c r="N69" s="571">
        <f>N68/L68-1</f>
        <v>0.47086372447015101</v>
      </c>
      <c r="O69" s="571">
        <f t="shared" ref="O69:P69" si="22">O68/N68-1</f>
        <v>0.17392020839129918</v>
      </c>
      <c r="P69" s="1051">
        <f t="shared" si="22"/>
        <v>7.4517516398494799E-2</v>
      </c>
      <c r="Q69" s="97"/>
      <c r="R69" s="1052">
        <f>+R68/J68-1</f>
        <v>-0.47528626285901887</v>
      </c>
      <c r="S69" s="1042"/>
      <c r="T69" s="1042"/>
      <c r="U69" s="571"/>
      <c r="V69" s="571"/>
      <c r="W69" s="1051"/>
      <c r="X69" s="74"/>
      <c r="Y69" s="561"/>
      <c r="Z69" s="561"/>
      <c r="AA69" s="561"/>
      <c r="AB69" s="561"/>
    </row>
    <row r="70" spans="1:28" s="179" customFormat="1" ht="12" customHeight="1">
      <c r="A70" s="196" t="s">
        <v>140</v>
      </c>
      <c r="B70" s="197"/>
      <c r="C70" s="983"/>
      <c r="D70" s="983"/>
      <c r="E70" s="983"/>
      <c r="F70" s="199">
        <f t="shared" ref="F70:R70" si="23">F66/F68</f>
        <v>337.10218946124519</v>
      </c>
      <c r="G70" s="200">
        <f t="shared" si="23"/>
        <v>359.81091728772668</v>
      </c>
      <c r="H70" s="573">
        <f t="shared" si="23"/>
        <v>356.16298223083299</v>
      </c>
      <c r="I70" s="573">
        <f t="shared" si="23"/>
        <v>336.36602258297933</v>
      </c>
      <c r="J70" s="1027">
        <f t="shared" si="23"/>
        <v>337.81112284230812</v>
      </c>
      <c r="K70" s="1055">
        <f t="shared" si="23"/>
        <v>537.06140622840223</v>
      </c>
      <c r="L70" s="1044">
        <f t="shared" si="23"/>
        <v>513.01637877499775</v>
      </c>
      <c r="M70" s="200">
        <f t="shared" si="23"/>
        <v>524.82309848620935</v>
      </c>
      <c r="N70" s="573">
        <f t="shared" si="23"/>
        <v>296.76148008700471</v>
      </c>
      <c r="O70" s="573">
        <f t="shared" si="23"/>
        <v>297.44752682799282</v>
      </c>
      <c r="P70" s="1056">
        <f t="shared" si="23"/>
        <v>274.90940512743845</v>
      </c>
      <c r="Q70" s="97"/>
      <c r="R70" s="1057">
        <f t="shared" si="23"/>
        <v>537.06140622840223</v>
      </c>
      <c r="S70" s="1044"/>
      <c r="T70" s="1044"/>
      <c r="U70" s="573"/>
      <c r="V70" s="573"/>
      <c r="W70" s="1056"/>
      <c r="X70" s="74"/>
      <c r="Y70" s="561"/>
      <c r="Z70" s="561"/>
      <c r="AA70" s="561"/>
      <c r="AB70" s="561"/>
    </row>
    <row r="71" spans="1:28" ht="12" customHeight="1">
      <c r="A71" s="203" t="s">
        <v>99</v>
      </c>
      <c r="B71" s="197"/>
      <c r="C71" s="981"/>
      <c r="D71" s="981"/>
      <c r="E71" s="981"/>
      <c r="F71" s="1003"/>
      <c r="G71" s="204">
        <f t="shared" ref="G71:J71" si="24">+G70/F70-1</f>
        <v>6.736452190587805E-2</v>
      </c>
      <c r="H71" s="569">
        <f t="shared" si="24"/>
        <v>-1.0138477966127324E-2</v>
      </c>
      <c r="I71" s="569">
        <f t="shared" si="24"/>
        <v>-5.5583990014501428E-2</v>
      </c>
      <c r="J71" s="1028">
        <f t="shared" si="24"/>
        <v>4.296213536170379E-3</v>
      </c>
      <c r="K71" s="1058">
        <f>K70/J70-1</f>
        <v>0.58982748024879306</v>
      </c>
      <c r="L71" s="1045">
        <f>L70/K70-1</f>
        <v>-4.4771467795953646E-2</v>
      </c>
      <c r="M71" s="447"/>
      <c r="N71" s="569">
        <f>N70/L70-1</f>
        <v>-0.42153605154746843</v>
      </c>
      <c r="O71" s="569">
        <f>O70/N70-1</f>
        <v>2.3117782698311995E-3</v>
      </c>
      <c r="P71" s="1059">
        <f t="shared" ref="P71" si="25">P70/O70-1</f>
        <v>-7.5771756924331912E-2</v>
      </c>
      <c r="Q71" s="97"/>
      <c r="R71" s="1060">
        <f>+R70/J70-1</f>
        <v>0.58982748024879306</v>
      </c>
      <c r="S71" s="1045"/>
      <c r="T71" s="1045"/>
      <c r="U71" s="569"/>
      <c r="V71" s="569"/>
      <c r="W71" s="1059"/>
      <c r="Y71" s="561"/>
      <c r="Z71" s="561"/>
      <c r="AA71" s="561"/>
      <c r="AB71" s="561"/>
    </row>
    <row r="72" spans="1:28" s="450" customFormat="1" ht="12" customHeight="1">
      <c r="A72" s="206"/>
      <c r="B72" s="197"/>
      <c r="C72" s="984"/>
      <c r="D72" s="984"/>
      <c r="E72" s="984"/>
      <c r="F72" s="197"/>
      <c r="G72" s="197"/>
      <c r="H72" s="197"/>
      <c r="I72" s="197"/>
      <c r="J72" s="197"/>
      <c r="K72" s="788"/>
      <c r="L72" s="788"/>
      <c r="M72" s="194"/>
      <c r="N72" s="194"/>
      <c r="O72" s="194"/>
      <c r="P72" s="194"/>
      <c r="Q72" s="97"/>
      <c r="R72" s="788"/>
      <c r="S72" s="179"/>
      <c r="T72" s="179"/>
      <c r="U72" s="179"/>
      <c r="V72" s="179"/>
      <c r="W72" s="179"/>
    </row>
    <row r="73" spans="1:28" s="450" customFormat="1" ht="12" customHeight="1">
      <c r="A73" s="207" t="s">
        <v>141</v>
      </c>
      <c r="B73" s="83"/>
      <c r="C73" s="967"/>
      <c r="D73" s="967"/>
      <c r="E73" s="967"/>
      <c r="F73" s="83"/>
      <c r="G73" s="83"/>
      <c r="H73" s="83"/>
      <c r="I73" s="83"/>
      <c r="J73" s="83"/>
      <c r="K73" s="207"/>
      <c r="L73" s="207"/>
      <c r="M73" s="83"/>
      <c r="N73" s="83"/>
      <c r="O73" s="83"/>
      <c r="P73" s="83"/>
      <c r="Q73" s="97"/>
      <c r="R73" s="207"/>
      <c r="S73" s="74"/>
      <c r="T73" s="74"/>
      <c r="U73" s="74"/>
      <c r="V73" s="74"/>
      <c r="W73" s="74"/>
    </row>
    <row r="74" spans="1:28" s="459" customFormat="1" ht="12" customHeight="1">
      <c r="A74" s="208" t="s">
        <v>499</v>
      </c>
      <c r="B74" s="209"/>
      <c r="C74" s="985"/>
      <c r="D74" s="985"/>
      <c r="E74" s="985"/>
      <c r="F74" s="209"/>
      <c r="G74" s="209"/>
      <c r="H74" s="209"/>
      <c r="I74" s="209"/>
      <c r="J74" s="209"/>
      <c r="K74" s="215"/>
      <c r="L74" s="215"/>
      <c r="M74" s="210"/>
      <c r="N74" s="182"/>
      <c r="O74" s="469"/>
      <c r="P74" s="211"/>
      <c r="Q74" s="97"/>
      <c r="R74" s="215"/>
      <c r="S74" s="450"/>
      <c r="T74" s="450"/>
      <c r="U74" s="450"/>
      <c r="V74" s="450"/>
      <c r="W74" s="450"/>
    </row>
    <row r="75" spans="1:28" s="459" customFormat="1" ht="12" customHeight="1">
      <c r="A75" s="208" t="s">
        <v>142</v>
      </c>
      <c r="B75" s="212"/>
      <c r="C75" s="986"/>
      <c r="D75" s="986"/>
      <c r="E75" s="986"/>
      <c r="F75" s="212"/>
      <c r="G75" s="212"/>
      <c r="H75" s="212"/>
      <c r="I75" s="212"/>
      <c r="J75" s="212"/>
      <c r="K75" s="215"/>
      <c r="L75" s="215"/>
      <c r="M75" s="215"/>
      <c r="N75" s="215"/>
      <c r="O75" s="470"/>
      <c r="P75" s="210"/>
      <c r="Q75" s="97"/>
      <c r="R75" s="215"/>
      <c r="S75" s="74"/>
      <c r="T75" s="74"/>
      <c r="U75" s="74"/>
      <c r="V75" s="74"/>
      <c r="W75" s="74"/>
    </row>
    <row r="76" spans="1:28" ht="12" customHeight="1">
      <c r="A76" s="208" t="s">
        <v>143</v>
      </c>
      <c r="B76" s="213"/>
      <c r="C76" s="987"/>
      <c r="D76" s="987"/>
      <c r="E76" s="987"/>
      <c r="F76" s="213"/>
      <c r="G76" s="213"/>
      <c r="H76" s="213"/>
      <c r="I76" s="213"/>
      <c r="J76" s="213"/>
      <c r="K76" s="723"/>
      <c r="L76" s="723"/>
      <c r="M76" s="214"/>
      <c r="N76" s="214"/>
      <c r="O76" s="471"/>
      <c r="P76" s="472"/>
      <c r="Q76" s="97"/>
      <c r="R76" s="723"/>
      <c r="S76" s="459"/>
      <c r="T76" s="459"/>
      <c r="U76" s="459"/>
      <c r="V76" s="459"/>
      <c r="W76" s="459"/>
    </row>
    <row r="77" spans="1:28" s="459" customFormat="1" ht="12" customHeight="1">
      <c r="A77" s="208"/>
      <c r="B77" s="83"/>
      <c r="C77" s="967"/>
      <c r="D77" s="967"/>
      <c r="E77" s="967"/>
      <c r="F77" s="83"/>
      <c r="G77" s="83"/>
      <c r="H77" s="83"/>
      <c r="I77" s="83"/>
      <c r="J77" s="83"/>
      <c r="K77" s="725"/>
      <c r="L77" s="725"/>
      <c r="M77" s="473"/>
      <c r="N77" s="473"/>
      <c r="O77" s="710"/>
      <c r="P77" s="472"/>
      <c r="Q77" s="97"/>
      <c r="R77" s="725"/>
    </row>
    <row r="78" spans="1:28" ht="12" customHeight="1">
      <c r="A78" s="1152" t="s">
        <v>674</v>
      </c>
      <c r="B78" s="1153"/>
      <c r="C78" s="1153"/>
      <c r="D78" s="1153"/>
      <c r="E78" s="1153"/>
      <c r="F78" s="1153"/>
      <c r="G78" s="1153"/>
      <c r="H78" s="1153"/>
      <c r="I78" s="1153"/>
      <c r="J78" s="1154"/>
      <c r="K78" s="1153"/>
      <c r="L78" s="1153"/>
      <c r="M78" s="1153"/>
      <c r="N78" s="1153"/>
      <c r="O78" s="1153"/>
      <c r="P78" s="214"/>
      <c r="Q78" s="97"/>
      <c r="R78" s="475"/>
    </row>
    <row r="79" spans="1:28" ht="12" customHeight="1">
      <c r="A79" s="93" t="s">
        <v>95</v>
      </c>
      <c r="B79" s="93"/>
      <c r="C79" s="93"/>
      <c r="D79" s="93"/>
      <c r="E79" s="93"/>
      <c r="F79" s="1155">
        <v>0</v>
      </c>
      <c r="G79" s="1155">
        <v>0</v>
      </c>
      <c r="H79" s="1155">
        <v>0</v>
      </c>
      <c r="I79" s="1155">
        <v>0</v>
      </c>
      <c r="J79" s="1155">
        <v>0</v>
      </c>
      <c r="K79" s="1167">
        <v>0</v>
      </c>
      <c r="L79" s="1167">
        <v>0</v>
      </c>
      <c r="M79" s="107">
        <f>K79+L79</f>
        <v>0</v>
      </c>
      <c r="N79" s="1155">
        <v>0</v>
      </c>
      <c r="O79" s="1155">
        <v>0</v>
      </c>
      <c r="P79" s="1155">
        <v>0</v>
      </c>
      <c r="Q79" s="1155"/>
      <c r="R79" s="1167">
        <v>0</v>
      </c>
      <c r="S79" s="459"/>
      <c r="T79" s="459"/>
      <c r="U79" s="459"/>
      <c r="V79" s="459"/>
      <c r="W79" s="459"/>
    </row>
    <row r="80" spans="1:28" s="459" customFormat="1" ht="12" customHeight="1">
      <c r="A80" s="93" t="s">
        <v>96</v>
      </c>
      <c r="B80" s="93"/>
      <c r="C80" s="93"/>
      <c r="D80" s="93"/>
      <c r="E80" s="93"/>
      <c r="F80" s="1155">
        <v>0</v>
      </c>
      <c r="G80" s="1155">
        <v>0</v>
      </c>
      <c r="H80" s="1155">
        <v>0</v>
      </c>
      <c r="I80" s="1155">
        <v>0</v>
      </c>
      <c r="J80" s="1155">
        <v>0</v>
      </c>
      <c r="K80" s="1167">
        <v>0</v>
      </c>
      <c r="L80" s="1167">
        <v>0</v>
      </c>
      <c r="M80" s="107">
        <f>K80+L80</f>
        <v>0</v>
      </c>
      <c r="N80" s="1155">
        <v>0</v>
      </c>
      <c r="O80" s="1155">
        <v>0</v>
      </c>
      <c r="P80" s="1155">
        <v>0</v>
      </c>
      <c r="Q80" s="1155"/>
      <c r="R80" s="1167">
        <v>0</v>
      </c>
    </row>
    <row r="81" spans="1:23" ht="12" customHeight="1">
      <c r="A81" s="75"/>
      <c r="B81" s="75"/>
      <c r="F81" s="75"/>
      <c r="G81" s="75"/>
      <c r="H81" s="75"/>
      <c r="I81" s="75"/>
      <c r="J81" s="75"/>
      <c r="K81" s="474"/>
      <c r="L81" s="474"/>
      <c r="N81" s="75"/>
      <c r="O81" s="75"/>
      <c r="P81" s="75"/>
      <c r="Q81" s="473"/>
      <c r="R81" s="474"/>
      <c r="S81" s="459"/>
      <c r="T81" s="459"/>
      <c r="U81" s="459"/>
      <c r="V81" s="459"/>
      <c r="W81" s="459"/>
    </row>
    <row r="82" spans="1:23">
      <c r="F82" s="669"/>
      <c r="G82" s="669"/>
      <c r="H82" s="669"/>
      <c r="I82" s="669"/>
      <c r="J82" s="669"/>
      <c r="K82" s="727"/>
      <c r="L82" s="727"/>
      <c r="M82" s="74"/>
      <c r="N82" s="669"/>
      <c r="O82" s="669"/>
      <c r="P82" s="669"/>
      <c r="Q82" s="90"/>
      <c r="R82" s="727"/>
      <c r="S82" s="90"/>
      <c r="T82" s="90"/>
      <c r="U82" s="90"/>
      <c r="V82" s="90"/>
      <c r="W82" s="90"/>
    </row>
    <row r="83" spans="1:23">
      <c r="P83" s="79"/>
      <c r="Q83" s="79"/>
    </row>
    <row r="85" spans="1:23" ht="12" customHeight="1">
      <c r="A85" s="74"/>
      <c r="B85" s="74"/>
      <c r="C85" s="967"/>
      <c r="D85" s="967"/>
      <c r="E85" s="967"/>
      <c r="F85" s="74"/>
      <c r="G85" s="74"/>
      <c r="H85" s="74"/>
      <c r="I85" s="74"/>
      <c r="J85" s="74"/>
      <c r="K85" s="516"/>
      <c r="L85" s="516"/>
      <c r="N85" s="74"/>
      <c r="O85" s="74"/>
      <c r="R85" s="516"/>
    </row>
    <row r="87" spans="1:23">
      <c r="P87" s="74"/>
      <c r="Q87" s="74"/>
    </row>
    <row r="116" spans="1:18">
      <c r="M116" s="74"/>
    </row>
    <row r="119" spans="1:18" ht="12" customHeight="1">
      <c r="A119" s="476"/>
      <c r="B119" s="74"/>
      <c r="C119" s="967"/>
      <c r="D119" s="967"/>
      <c r="E119" s="967"/>
      <c r="F119" s="74"/>
      <c r="G119" s="74"/>
      <c r="H119" s="74"/>
      <c r="I119" s="74"/>
      <c r="J119" s="74"/>
      <c r="K119" s="516"/>
      <c r="L119" s="516"/>
      <c r="N119" s="74"/>
      <c r="O119" s="74"/>
      <c r="R119" s="516"/>
    </row>
    <row r="121" spans="1:18">
      <c r="P121" s="74"/>
      <c r="Q121" s="74"/>
    </row>
  </sheetData>
  <mergeCells count="3">
    <mergeCell ref="F7:J7"/>
    <mergeCell ref="K7:P7"/>
    <mergeCell ref="R7:W7"/>
  </mergeCell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Navngitte områder</vt:lpstr>
      </vt:variant>
      <vt:variant>
        <vt:i4>20</vt:i4>
      </vt:variant>
    </vt:vector>
  </HeadingPairs>
  <TitlesOfParts>
    <vt:vector size="40" baseType="lpstr">
      <vt:lpstr>Checks</vt:lpstr>
      <vt:lpstr>Header</vt:lpstr>
      <vt:lpstr>T1</vt:lpstr>
      <vt:lpstr>T1 ANSP</vt:lpstr>
      <vt:lpstr>T1 MET</vt:lpstr>
      <vt:lpstr>T1 NSA</vt:lpstr>
      <vt:lpstr>T1 ENBR</vt:lpstr>
      <vt:lpstr>T1 ENGM</vt:lpstr>
      <vt:lpstr>T1 ENZV</vt:lpstr>
      <vt:lpstr>T1 ENVA</vt:lpstr>
      <vt:lpstr>T2</vt:lpstr>
      <vt:lpstr>T2 ANSP</vt:lpstr>
      <vt:lpstr>T2 MET</vt:lpstr>
      <vt:lpstr>T2 NSA</vt:lpstr>
      <vt:lpstr>T3</vt:lpstr>
      <vt:lpstr>T3 ANSP</vt:lpstr>
      <vt:lpstr>T3 MET</vt:lpstr>
      <vt:lpstr>T3 NSA</vt:lpstr>
      <vt:lpstr>T4</vt:lpstr>
      <vt:lpstr>RP3 PP revised</vt:lpstr>
      <vt:lpstr>Checks!Utskriftsområde</vt:lpstr>
      <vt:lpstr>Header!Utskriftsområde</vt:lpstr>
      <vt:lpstr>'RP3 PP revised'!Utskriftsområde</vt:lpstr>
      <vt:lpstr>'T1'!Utskriftsområde</vt:lpstr>
      <vt:lpstr>'T1 ANSP'!Utskriftsområde</vt:lpstr>
      <vt:lpstr>'T1 ENBR'!Utskriftsområde</vt:lpstr>
      <vt:lpstr>'T1 ENGM'!Utskriftsområde</vt:lpstr>
      <vt:lpstr>'T1 ENVA'!Utskriftsområde</vt:lpstr>
      <vt:lpstr>'T1 ENZV'!Utskriftsområde</vt:lpstr>
      <vt:lpstr>'T1 MET'!Utskriftsområde</vt:lpstr>
      <vt:lpstr>'T1 NSA'!Utskriftsområde</vt:lpstr>
      <vt:lpstr>'T2'!Utskriftsområde</vt:lpstr>
      <vt:lpstr>'T2 ANSP'!Utskriftsområde</vt:lpstr>
      <vt:lpstr>'T2 MET'!Utskriftsområde</vt:lpstr>
      <vt:lpstr>'T2 NSA'!Utskriftsområde</vt:lpstr>
      <vt:lpstr>'T3'!Utskriftsområde</vt:lpstr>
      <vt:lpstr>'T3 ANSP'!Utskriftsområde</vt:lpstr>
      <vt:lpstr>'T3 MET'!Utskriftsområde</vt:lpstr>
      <vt:lpstr>'T3 NSA'!Utskriftsområde</vt:lpstr>
      <vt:lpstr>'T4'!Utskriftsområde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2021-11-12T12:43:37Z</dcterms:modified>
</cp:coreProperties>
</file>